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mc:AlternateContent xmlns:mc="http://schemas.openxmlformats.org/markup-compatibility/2006">
    <mc:Choice Requires="x15">
      <x15ac:absPath xmlns:x15ac="http://schemas.microsoft.com/office/spreadsheetml/2010/11/ac" url="C:\Users\LTorres\Documents\corp\Rick Levin &amp; Associates, Inc\202012, Conventional Listing, Dan McLean &amp; Charles Jesser, 16 Old Town Units, Chicago, IL, Sold in BULK\"/>
    </mc:Choice>
  </mc:AlternateContent>
  <xr:revisionPtr revIDLastSave="0" documentId="8_{BC2C6429-7CC9-4AC3-8534-5298CE74E822}" xr6:coauthVersionLast="45" xr6:coauthVersionMax="45" xr10:uidLastSave="{00000000-0000-0000-0000-000000000000}"/>
  <bookViews>
    <workbookView xWindow="-120" yWindow="-120" windowWidth="29040" windowHeight="15840" tabRatio="537" xr2:uid="{00000000-000D-0000-FFFF-FFFF00000000}"/>
  </bookViews>
  <sheets>
    <sheet name="2021 Budget" sheetId="2" r:id="rId1"/>
    <sheet name="Upload File" sheetId="31" state="hidden" r:id="rId2"/>
    <sheet name="Annual Budget Print Format" sheetId="32" state="hidden" r:id="rId3"/>
    <sheet name="Line Items explanations" sheetId="25" r:id="rId4"/>
    <sheet name="Compensation Details" sheetId="26" r:id="rId5"/>
    <sheet name="actual 2014" sheetId="43" state="hidden" r:id="rId6"/>
    <sheet name="Capital Cost" sheetId="27" r:id="rId7"/>
    <sheet name="CHA-PPM Review-Response" sheetId="28" state="hidden" r:id="rId8"/>
    <sheet name="FY2012AuditReconciliation" sheetId="42" state="hidden" r:id="rId9"/>
    <sheet name="na data" sheetId="40" state="hidden" r:id="rId10"/>
    <sheet name="ReplacementReserve Balance " sheetId="44" r:id="rId11"/>
  </sheets>
  <externalReferences>
    <externalReference r:id="rId12"/>
    <externalReference r:id="rId13"/>
    <externalReference r:id="rId14"/>
  </externalReferences>
  <definedNames>
    <definedName name="_xlnm._FilterDatabase" localSheetId="0" hidden="1">'2021 Budget'!$A$1:$Q$114</definedName>
    <definedName name="_HAP1" localSheetId="8">#REF!</definedName>
    <definedName name="_HAP1">#REF!</definedName>
    <definedName name="_RFR1" localSheetId="8">#REF!</definedName>
    <definedName name="_RFR1">#REF!</definedName>
    <definedName name="_RFR2" localSheetId="8">#REF!</definedName>
    <definedName name="_RFR2">#REF!</definedName>
    <definedName name="_RFR3" localSheetId="8">#REF!</definedName>
    <definedName name="_RFR3">#REF!</definedName>
    <definedName name="_Sort" localSheetId="8" hidden="1">#REF!</definedName>
    <definedName name="_Sort" hidden="1">#REF!</definedName>
    <definedName name="ACPG1" localSheetId="8">#REF!</definedName>
    <definedName name="ACPG1">#REF!</definedName>
    <definedName name="ACPG2" localSheetId="8">#REF!</definedName>
    <definedName name="ACPG2">#REF!</definedName>
    <definedName name="Bad_Debts_CHA">'[1]Bad Debts-CHA'!$K$5</definedName>
    <definedName name="budget" localSheetId="8">#REF!</definedName>
    <definedName name="budget">#REF!</definedName>
    <definedName name="detail">'2021 Budget'!$C$9:$P$121</definedName>
    <definedName name="EQ94PG1" localSheetId="8">#REF!</definedName>
    <definedName name="EQ94PG1">#REF!</definedName>
    <definedName name="EQ94PG2" localSheetId="8">#REF!</definedName>
    <definedName name="EQ94PG2">#REF!</definedName>
    <definedName name="EQ95PG1" localSheetId="8">#REF!</definedName>
    <definedName name="EQ95PG1">#REF!</definedName>
    <definedName name="EQ95PG2" localSheetId="8">#REF!</definedName>
    <definedName name="EQ95PG2">#REF!</definedName>
    <definedName name="EQ96PG1" localSheetId="8">#REF!</definedName>
    <definedName name="EQ96PG1">#REF!</definedName>
    <definedName name="EQ96PG2" localSheetId="8">#REF!</definedName>
    <definedName name="EQ96PG2">#REF!</definedName>
    <definedName name="EQ97PG1" localSheetId="8">#REF!</definedName>
    <definedName name="EQ97PG1">#REF!</definedName>
    <definedName name="EQ97PG2" localSheetId="8">#REF!</definedName>
    <definedName name="EQ97PG2">#REF!</definedName>
    <definedName name="HAP" localSheetId="8">#REF!</definedName>
    <definedName name="HAP">#REF!</definedName>
    <definedName name="Lease_Termination_Sublease_Fee">'[1]Lease Termination-Sublease Fee'!$K$5</definedName>
    <definedName name="MACRO" localSheetId="8">#REF!</definedName>
    <definedName name="MACRO">#REF!</definedName>
    <definedName name="_xlnm.Print_Area" localSheetId="0">'2021 Budget'!$C$1:$R$143</definedName>
    <definedName name="_xlnm.Print_Area" localSheetId="2">'Annual Budget Print Format'!$A$7:$F$137</definedName>
    <definedName name="_xlnm.Print_Area" localSheetId="7">'CHA-PPM Review-Response'!$A$1:$W$153</definedName>
    <definedName name="_xlnm.Print_Area" localSheetId="8">FY2012AuditReconciliation!$D$1:$Q$146</definedName>
    <definedName name="_xlnm.Print_Titles" localSheetId="0">'2021 Budget'!$1:$7</definedName>
    <definedName name="_xlnm.Print_Titles" localSheetId="2">'Annual Budget Print Format'!$1:$6</definedName>
    <definedName name="_xlnm.Print_Titles" localSheetId="8">FY2012AuditReconciliation!$1:$1</definedName>
    <definedName name="_xlnm.Print_Titles" localSheetId="3">'Line Items explanations'!$1:$1</definedName>
    <definedName name="Short_Term_Lease_Fee">'[1]Short Term Lease Fee'!$K$5</definedName>
    <definedName name="test">'2021 Budget'!$D$47:$D$87</definedName>
    <definedName name="VAC" localSheetId="8">#REF!</definedName>
    <definedName name="VAC">#REF!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17" i="2" l="1"/>
  <c r="E62" i="2"/>
  <c r="E79" i="2"/>
  <c r="E88" i="2" s="1"/>
  <c r="E104" i="2"/>
  <c r="E71" i="2"/>
  <c r="E9" i="2"/>
  <c r="E15" i="2" s="1"/>
  <c r="D104" i="2"/>
  <c r="D24" i="2"/>
  <c r="D44" i="2" s="1"/>
  <c r="D111" i="2" s="1"/>
  <c r="D114" i="2" s="1"/>
  <c r="D121" i="2" s="1"/>
  <c r="D32" i="2"/>
  <c r="D18" i="2"/>
  <c r="D11" i="2"/>
  <c r="F8" i="27"/>
  <c r="F7" i="27"/>
  <c r="F6" i="27"/>
  <c r="G6" i="27" s="1"/>
  <c r="F5" i="27"/>
  <c r="G5" i="27" s="1"/>
  <c r="G9" i="2"/>
  <c r="J9" i="2" s="1"/>
  <c r="F5" i="26"/>
  <c r="I5" i="26" s="1"/>
  <c r="F6" i="26"/>
  <c r="F7" i="26"/>
  <c r="F8" i="26"/>
  <c r="F9" i="26"/>
  <c r="F13" i="26"/>
  <c r="G29" i="2"/>
  <c r="I29" i="2" s="1"/>
  <c r="F27" i="26"/>
  <c r="G104" i="2"/>
  <c r="I42" i="26"/>
  <c r="I41" i="26"/>
  <c r="I40" i="26"/>
  <c r="I39" i="26"/>
  <c r="I38" i="26"/>
  <c r="I37" i="26"/>
  <c r="I34" i="26"/>
  <c r="I33" i="26"/>
  <c r="I26" i="26"/>
  <c r="I25" i="26"/>
  <c r="I24" i="26"/>
  <c r="I23" i="26"/>
  <c r="I27" i="26" s="1"/>
  <c r="I19" i="26"/>
  <c r="I18" i="26"/>
  <c r="I17" i="26"/>
  <c r="I10" i="26"/>
  <c r="E52" i="26"/>
  <c r="F52" i="26" s="1"/>
  <c r="I52" i="26" s="1"/>
  <c r="E51" i="26"/>
  <c r="E50" i="26"/>
  <c r="F50" i="26" s="1"/>
  <c r="E42" i="26"/>
  <c r="H42" i="26" s="1"/>
  <c r="E41" i="26"/>
  <c r="H41" i="26" s="1"/>
  <c r="E40" i="26"/>
  <c r="H40" i="26"/>
  <c r="E39" i="26"/>
  <c r="H39" i="26"/>
  <c r="E38" i="26"/>
  <c r="H38" i="26"/>
  <c r="E37" i="26"/>
  <c r="H37" i="26" s="1"/>
  <c r="E36" i="26"/>
  <c r="H36" i="26" s="1"/>
  <c r="E35" i="26"/>
  <c r="H35" i="26" s="1"/>
  <c r="E34" i="26"/>
  <c r="H34" i="26"/>
  <c r="E33" i="26"/>
  <c r="H33" i="26" s="1"/>
  <c r="E24" i="26"/>
  <c r="H24" i="26" s="1"/>
  <c r="E25" i="26"/>
  <c r="H25" i="26"/>
  <c r="E26" i="26"/>
  <c r="H26" i="26"/>
  <c r="E23" i="26"/>
  <c r="H23" i="26" s="1"/>
  <c r="E19" i="26"/>
  <c r="H19" i="26" s="1"/>
  <c r="E18" i="26"/>
  <c r="H18" i="26" s="1"/>
  <c r="E17" i="26"/>
  <c r="H17" i="26" s="1"/>
  <c r="H16" i="26"/>
  <c r="H6" i="26"/>
  <c r="H7" i="26"/>
  <c r="H8" i="26"/>
  <c r="H9" i="26"/>
  <c r="H10" i="26"/>
  <c r="H11" i="26"/>
  <c r="H12" i="26"/>
  <c r="H5" i="26"/>
  <c r="H13" i="26" s="1"/>
  <c r="H52" i="26"/>
  <c r="H53" i="26" s="1"/>
  <c r="H51" i="26"/>
  <c r="H50" i="26"/>
  <c r="H49" i="26"/>
  <c r="F16" i="26"/>
  <c r="I16" i="26"/>
  <c r="I9" i="26"/>
  <c r="I8" i="26"/>
  <c r="I7" i="26"/>
  <c r="I6" i="26"/>
  <c r="F51" i="26"/>
  <c r="I51" i="26" s="1"/>
  <c r="F49" i="26"/>
  <c r="I49" i="26"/>
  <c r="F36" i="26"/>
  <c r="B5" i="44"/>
  <c r="N139" i="2"/>
  <c r="N141" i="2"/>
  <c r="O28" i="2"/>
  <c r="P28" i="2"/>
  <c r="H34" i="25"/>
  <c r="H35" i="25"/>
  <c r="H23" i="25"/>
  <c r="H18" i="25"/>
  <c r="H13" i="25"/>
  <c r="H8" i="25"/>
  <c r="H3" i="25"/>
  <c r="H448" i="25"/>
  <c r="H443" i="25"/>
  <c r="H444" i="25"/>
  <c r="H438" i="25"/>
  <c r="H433" i="25"/>
  <c r="H423" i="25"/>
  <c r="H418" i="25"/>
  <c r="H413" i="25"/>
  <c r="H408" i="25"/>
  <c r="H403" i="25"/>
  <c r="H398" i="25"/>
  <c r="H399" i="25"/>
  <c r="H390" i="25"/>
  <c r="H385" i="25"/>
  <c r="H388" i="25" s="1"/>
  <c r="G93" i="2" s="1"/>
  <c r="H380" i="25"/>
  <c r="H375" i="25"/>
  <c r="H366" i="25"/>
  <c r="H369" i="25" s="1"/>
  <c r="H361" i="25"/>
  <c r="H356" i="25"/>
  <c r="H351" i="25"/>
  <c r="H346" i="25"/>
  <c r="H341" i="25"/>
  <c r="H336" i="25"/>
  <c r="H331" i="25"/>
  <c r="H326" i="25"/>
  <c r="H321" i="25"/>
  <c r="H316" i="25"/>
  <c r="H311" i="25"/>
  <c r="H301" i="25"/>
  <c r="H296" i="25"/>
  <c r="H299" i="25" s="1"/>
  <c r="K86" i="28" s="1"/>
  <c r="H291" i="25"/>
  <c r="H286" i="25"/>
  <c r="H281" i="25"/>
  <c r="H276" i="25"/>
  <c r="H271" i="25"/>
  <c r="H266" i="25"/>
  <c r="H261" i="25"/>
  <c r="H256" i="25"/>
  <c r="H251" i="25"/>
  <c r="H245" i="25"/>
  <c r="H240" i="25"/>
  <c r="H235" i="25"/>
  <c r="H225" i="25"/>
  <c r="H220" i="25"/>
  <c r="H215" i="25"/>
  <c r="H210" i="25"/>
  <c r="H205" i="25"/>
  <c r="H200" i="25"/>
  <c r="H201" i="25"/>
  <c r="H195" i="25"/>
  <c r="H190" i="25"/>
  <c r="H185" i="25"/>
  <c r="H175" i="25"/>
  <c r="H170" i="25"/>
  <c r="H173" i="25" s="1"/>
  <c r="H159" i="25"/>
  <c r="H154" i="25"/>
  <c r="H149" i="25"/>
  <c r="H144" i="25"/>
  <c r="H139" i="25"/>
  <c r="H129" i="25"/>
  <c r="H124" i="25"/>
  <c r="H119" i="25"/>
  <c r="H122" i="25" s="1"/>
  <c r="G35" i="2" s="1"/>
  <c r="H114" i="25"/>
  <c r="H117" i="25" s="1"/>
  <c r="H109" i="25"/>
  <c r="H104" i="25"/>
  <c r="H99" i="25"/>
  <c r="K37" i="28"/>
  <c r="Q37" i="28" s="1"/>
  <c r="H94" i="25"/>
  <c r="H84" i="25"/>
  <c r="H87" i="25" s="1"/>
  <c r="K33" i="28" s="1"/>
  <c r="H79" i="25"/>
  <c r="H74" i="25"/>
  <c r="H69" i="25"/>
  <c r="H64" i="25"/>
  <c r="H59" i="25"/>
  <c r="H54" i="25"/>
  <c r="H49" i="25"/>
  <c r="H44" i="25"/>
  <c r="H39" i="25"/>
  <c r="H129" i="2"/>
  <c r="J140" i="2"/>
  <c r="P127" i="2"/>
  <c r="P129" i="2"/>
  <c r="P130" i="2"/>
  <c r="P131" i="2"/>
  <c r="P132" i="2"/>
  <c r="P13" i="2"/>
  <c r="O13" i="2"/>
  <c r="P36" i="2"/>
  <c r="O36" i="2"/>
  <c r="G132" i="2"/>
  <c r="M132" i="2" s="1"/>
  <c r="J127" i="2"/>
  <c r="K127" i="2"/>
  <c r="L127" i="2"/>
  <c r="I127" i="2"/>
  <c r="J129" i="2"/>
  <c r="K129" i="2"/>
  <c r="L129" i="2"/>
  <c r="M131" i="2"/>
  <c r="J131" i="2"/>
  <c r="K131" i="2"/>
  <c r="L131" i="2"/>
  <c r="J130" i="2"/>
  <c r="K130" i="2"/>
  <c r="L130" i="2"/>
  <c r="I131" i="2"/>
  <c r="I130" i="2"/>
  <c r="I129" i="2"/>
  <c r="I128" i="2"/>
  <c r="M125" i="2"/>
  <c r="M127" i="2"/>
  <c r="M128" i="2"/>
  <c r="M129" i="2"/>
  <c r="M130" i="2"/>
  <c r="M118" i="2"/>
  <c r="M122" i="2"/>
  <c r="O115" i="2"/>
  <c r="O117" i="2" s="1"/>
  <c r="P115" i="2"/>
  <c r="P116" i="2"/>
  <c r="P117" i="2"/>
  <c r="P118" i="2"/>
  <c r="P120" i="2"/>
  <c r="N119" i="2"/>
  <c r="P119" i="2" s="1"/>
  <c r="E119" i="2"/>
  <c r="D119" i="2"/>
  <c r="N59" i="2"/>
  <c r="N111" i="2" s="1"/>
  <c r="N44" i="2"/>
  <c r="N15" i="2"/>
  <c r="P15" i="2"/>
  <c r="N95" i="2"/>
  <c r="P95" i="2" s="1"/>
  <c r="N109" i="2"/>
  <c r="P109" i="2" s="1"/>
  <c r="D109" i="2"/>
  <c r="E109" i="2"/>
  <c r="N88" i="2"/>
  <c r="P88" i="2"/>
  <c r="D88" i="2"/>
  <c r="H127" i="2"/>
  <c r="H130" i="2"/>
  <c r="G7" i="27"/>
  <c r="G8" i="27"/>
  <c r="G9" i="27"/>
  <c r="G10" i="27"/>
  <c r="G11" i="27"/>
  <c r="G12" i="27"/>
  <c r="G13" i="27"/>
  <c r="G14" i="27"/>
  <c r="G15" i="27"/>
  <c r="G16" i="27"/>
  <c r="G17" i="27"/>
  <c r="G18" i="27"/>
  <c r="G19" i="27"/>
  <c r="G20" i="27"/>
  <c r="G21" i="27"/>
  <c r="G22" i="27"/>
  <c r="G23" i="27"/>
  <c r="G24" i="27"/>
  <c r="G25" i="27"/>
  <c r="G26" i="27"/>
  <c r="F20" i="26"/>
  <c r="G28" i="2" s="1"/>
  <c r="D15" i="2"/>
  <c r="D59" i="2"/>
  <c r="E59" i="2"/>
  <c r="D95" i="2"/>
  <c r="E95" i="2"/>
  <c r="H392" i="25"/>
  <c r="H391" i="25"/>
  <c r="H368" i="25"/>
  <c r="H367" i="25"/>
  <c r="G87" i="2"/>
  <c r="J87" i="2"/>
  <c r="H323" i="25"/>
  <c r="H324" i="25" s="1"/>
  <c r="H322" i="25"/>
  <c r="E44" i="2"/>
  <c r="H146" i="25"/>
  <c r="H145" i="25"/>
  <c r="H450" i="25"/>
  <c r="H449" i="25"/>
  <c r="H445" i="25"/>
  <c r="H440" i="25"/>
  <c r="H439" i="25"/>
  <c r="H435" i="25"/>
  <c r="H434" i="25"/>
  <c r="H430" i="25"/>
  <c r="H429" i="25"/>
  <c r="H425" i="25"/>
  <c r="H424" i="25"/>
  <c r="H420" i="25"/>
  <c r="H419" i="25"/>
  <c r="H415" i="25"/>
  <c r="H414" i="25"/>
  <c r="H410" i="25"/>
  <c r="H409" i="25"/>
  <c r="H405" i="25"/>
  <c r="H404" i="25"/>
  <c r="H387" i="25"/>
  <c r="H386" i="25"/>
  <c r="H382" i="25"/>
  <c r="H381" i="25"/>
  <c r="H377" i="25"/>
  <c r="H376" i="25"/>
  <c r="H352" i="25"/>
  <c r="H353" i="25"/>
  <c r="H354" i="25" s="1"/>
  <c r="G84" i="2" s="1"/>
  <c r="H357" i="25"/>
  <c r="H358" i="25"/>
  <c r="H362" i="25"/>
  <c r="H363" i="25"/>
  <c r="H348" i="25"/>
  <c r="H347" i="25"/>
  <c r="H349" i="25" s="1"/>
  <c r="H343" i="25"/>
  <c r="H342" i="25"/>
  <c r="H338" i="25"/>
  <c r="H337" i="25"/>
  <c r="H333" i="25"/>
  <c r="H332" i="25"/>
  <c r="H227" i="25"/>
  <c r="H226" i="25"/>
  <c r="H222" i="25"/>
  <c r="H221" i="25"/>
  <c r="H223" i="25" s="1"/>
  <c r="G57" i="2" s="1"/>
  <c r="H217" i="25"/>
  <c r="H216" i="25"/>
  <c r="H212" i="25"/>
  <c r="H211" i="25"/>
  <c r="H207" i="25"/>
  <c r="H206" i="25"/>
  <c r="H202" i="25"/>
  <c r="H203" i="25"/>
  <c r="G53" i="2" s="1"/>
  <c r="H161" i="25"/>
  <c r="H160" i="25"/>
  <c r="H156" i="25"/>
  <c r="H155" i="25"/>
  <c r="H151" i="25"/>
  <c r="H152" i="25" s="1"/>
  <c r="G41" i="2" s="1"/>
  <c r="H150" i="25"/>
  <c r="H141" i="25"/>
  <c r="H140" i="25"/>
  <c r="H116" i="25"/>
  <c r="H115" i="25"/>
  <c r="H111" i="25"/>
  <c r="H110" i="25"/>
  <c r="H46" i="25"/>
  <c r="H45" i="25"/>
  <c r="H41" i="25"/>
  <c r="H40" i="25"/>
  <c r="H36" i="25"/>
  <c r="G137" i="2"/>
  <c r="G138" i="2"/>
  <c r="F4" i="27"/>
  <c r="G4" i="27"/>
  <c r="G43" i="26"/>
  <c r="O106" i="2"/>
  <c r="O42" i="2"/>
  <c r="O144" i="43"/>
  <c r="L144" i="43"/>
  <c r="P144" i="43" s="1"/>
  <c r="M144" i="43"/>
  <c r="J144" i="43"/>
  <c r="I144" i="43"/>
  <c r="H144" i="43"/>
  <c r="G144" i="43"/>
  <c r="F144" i="43"/>
  <c r="E144" i="43"/>
  <c r="K143" i="43"/>
  <c r="P142" i="43"/>
  <c r="N142" i="43"/>
  <c r="K142" i="43"/>
  <c r="K141" i="43"/>
  <c r="K140" i="43"/>
  <c r="K139" i="43"/>
  <c r="K144" i="43"/>
  <c r="O134" i="43"/>
  <c r="M132" i="43"/>
  <c r="N132" i="43" s="1"/>
  <c r="L132" i="43"/>
  <c r="J132" i="43"/>
  <c r="G132" i="43"/>
  <c r="F132" i="43"/>
  <c r="E132" i="43"/>
  <c r="O131" i="43"/>
  <c r="Q131" i="43"/>
  <c r="K131" i="43"/>
  <c r="O130" i="43"/>
  <c r="Q130" i="43" s="1"/>
  <c r="K130" i="43"/>
  <c r="O129" i="43"/>
  <c r="N129" i="43"/>
  <c r="K129" i="43"/>
  <c r="O128" i="43"/>
  <c r="P128" i="43"/>
  <c r="N128" i="43"/>
  <c r="K128" i="43"/>
  <c r="K132" i="43"/>
  <c r="Q127" i="43"/>
  <c r="Q126" i="43"/>
  <c r="Q124" i="43"/>
  <c r="O123" i="43"/>
  <c r="M123" i="43"/>
  <c r="L123" i="43"/>
  <c r="J123" i="43"/>
  <c r="I123" i="43"/>
  <c r="H123" i="43"/>
  <c r="G123" i="43"/>
  <c r="F123" i="43"/>
  <c r="E123" i="43"/>
  <c r="Q122" i="43"/>
  <c r="K122" i="43"/>
  <c r="S122" i="43" s="1"/>
  <c r="T122" i="43" s="1"/>
  <c r="Q121" i="43"/>
  <c r="K121" i="43"/>
  <c r="T121" i="43"/>
  <c r="Q120" i="43"/>
  <c r="K120" i="43"/>
  <c r="S120" i="43" s="1"/>
  <c r="T120" i="43" s="1"/>
  <c r="Q119" i="43"/>
  <c r="K119" i="43"/>
  <c r="S119" i="43" s="1"/>
  <c r="T119" i="43"/>
  <c r="Q118" i="43"/>
  <c r="K118" i="43"/>
  <c r="S118" i="43" s="1"/>
  <c r="T118" i="43" s="1"/>
  <c r="Q117" i="43"/>
  <c r="K117" i="43"/>
  <c r="S117" i="43" s="1"/>
  <c r="T117" i="43"/>
  <c r="Q116" i="43"/>
  <c r="K116" i="43"/>
  <c r="S116" i="43" s="1"/>
  <c r="T116" i="43" s="1"/>
  <c r="Q115" i="43"/>
  <c r="K115" i="43"/>
  <c r="S115" i="43" s="1"/>
  <c r="T115" i="43" s="1"/>
  <c r="Q114" i="43"/>
  <c r="Q113" i="43"/>
  <c r="Q111" i="43"/>
  <c r="Q109" i="43"/>
  <c r="O108" i="43"/>
  <c r="M108" i="43"/>
  <c r="L108" i="43"/>
  <c r="J108" i="43"/>
  <c r="I108" i="43"/>
  <c r="H108" i="43"/>
  <c r="G108" i="43"/>
  <c r="F108" i="43"/>
  <c r="E108" i="43"/>
  <c r="Q107" i="43"/>
  <c r="P107" i="43"/>
  <c r="N107" i="43"/>
  <c r="K107" i="43"/>
  <c r="S107" i="43"/>
  <c r="T107" i="43" s="1"/>
  <c r="Q106" i="43"/>
  <c r="P106" i="43"/>
  <c r="N106" i="43"/>
  <c r="K106" i="43"/>
  <c r="S106" i="43"/>
  <c r="T106" i="43" s="1"/>
  <c r="Q105" i="43"/>
  <c r="P105" i="43"/>
  <c r="N105" i="43"/>
  <c r="K105" i="43"/>
  <c r="S105" i="43" s="1"/>
  <c r="T105" i="43" s="1"/>
  <c r="Q104" i="43"/>
  <c r="K104" i="43"/>
  <c r="S104" i="43"/>
  <c r="T104" i="43" s="1"/>
  <c r="Q103" i="43"/>
  <c r="K103" i="43"/>
  <c r="S103" i="43" s="1"/>
  <c r="T103" i="43" s="1"/>
  <c r="Q102" i="43"/>
  <c r="P102" i="43"/>
  <c r="N102" i="43"/>
  <c r="K102" i="43"/>
  <c r="S102" i="43" s="1"/>
  <c r="T102" i="43" s="1"/>
  <c r="K101" i="43"/>
  <c r="S101" i="43" s="1"/>
  <c r="T101" i="43"/>
  <c r="Q100" i="43"/>
  <c r="P100" i="43"/>
  <c r="N100" i="43"/>
  <c r="K100" i="43"/>
  <c r="S100" i="43"/>
  <c r="T100" i="43" s="1"/>
  <c r="Q99" i="43"/>
  <c r="P99" i="43"/>
  <c r="N99" i="43"/>
  <c r="K99" i="43"/>
  <c r="K108" i="43" s="1"/>
  <c r="Q98" i="43"/>
  <c r="Q97" i="43"/>
  <c r="O96" i="43"/>
  <c r="I96" i="43"/>
  <c r="H96" i="43"/>
  <c r="G96" i="43"/>
  <c r="F96" i="43"/>
  <c r="F110" i="43" s="1"/>
  <c r="E96" i="43"/>
  <c r="M95" i="43"/>
  <c r="Q95" i="43" s="1"/>
  <c r="L95" i="43"/>
  <c r="K95" i="43"/>
  <c r="J95" i="43"/>
  <c r="J96" i="43"/>
  <c r="Q94" i="43"/>
  <c r="K94" i="43"/>
  <c r="S94" i="43" s="1"/>
  <c r="T94" i="43" s="1"/>
  <c r="Q93" i="43"/>
  <c r="P93" i="43"/>
  <c r="N93" i="43"/>
  <c r="K93" i="43"/>
  <c r="S93" i="43" s="1"/>
  <c r="T93" i="43" s="1"/>
  <c r="Q92" i="43"/>
  <c r="P92" i="43"/>
  <c r="N92" i="43"/>
  <c r="K92" i="43"/>
  <c r="S92" i="43" s="1"/>
  <c r="T92" i="43"/>
  <c r="Q91" i="43"/>
  <c r="Q90" i="43"/>
  <c r="O89" i="43"/>
  <c r="M89" i="43"/>
  <c r="L89" i="43"/>
  <c r="J89" i="43"/>
  <c r="I89" i="43"/>
  <c r="H89" i="43"/>
  <c r="G89" i="43"/>
  <c r="E89" i="43"/>
  <c r="Q88" i="43"/>
  <c r="N88" i="43"/>
  <c r="K88" i="43"/>
  <c r="S88" i="43" s="1"/>
  <c r="T88" i="43" s="1"/>
  <c r="Q87" i="43"/>
  <c r="P87" i="43"/>
  <c r="N87" i="43"/>
  <c r="K87" i="43"/>
  <c r="S87" i="43" s="1"/>
  <c r="T87" i="43" s="1"/>
  <c r="Q86" i="43"/>
  <c r="K86" i="43"/>
  <c r="S86" i="43"/>
  <c r="T86" i="43"/>
  <c r="Q85" i="43"/>
  <c r="K85" i="43"/>
  <c r="S85" i="43" s="1"/>
  <c r="T85" i="43" s="1"/>
  <c r="Q84" i="43"/>
  <c r="K84" i="43"/>
  <c r="S84" i="43"/>
  <c r="T84" i="43"/>
  <c r="Q83" i="43"/>
  <c r="P83" i="43"/>
  <c r="N83" i="43"/>
  <c r="K83" i="43"/>
  <c r="S83" i="43" s="1"/>
  <c r="T83" i="43" s="1"/>
  <c r="Q82" i="43"/>
  <c r="P82" i="43"/>
  <c r="N82" i="43"/>
  <c r="K82" i="43"/>
  <c r="S82" i="43" s="1"/>
  <c r="T82" i="43" s="1"/>
  <c r="Q81" i="43"/>
  <c r="K81" i="43"/>
  <c r="S81" i="43"/>
  <c r="T81" i="43"/>
  <c r="Q79" i="43"/>
  <c r="K79" i="43"/>
  <c r="S79" i="43" s="1"/>
  <c r="T79" i="43" s="1"/>
  <c r="Q78" i="43"/>
  <c r="K78" i="43"/>
  <c r="S78" i="43"/>
  <c r="T78" i="43"/>
  <c r="Q77" i="43"/>
  <c r="K77" i="43"/>
  <c r="S77" i="43" s="1"/>
  <c r="T77" i="43" s="1"/>
  <c r="Q76" i="43"/>
  <c r="K76" i="43"/>
  <c r="S76" i="43"/>
  <c r="T76" i="43"/>
  <c r="Q75" i="43"/>
  <c r="K75" i="43"/>
  <c r="S75" i="43" s="1"/>
  <c r="T75" i="43" s="1"/>
  <c r="Q74" i="43"/>
  <c r="K74" i="43"/>
  <c r="S74" i="43"/>
  <c r="T74" i="43"/>
  <c r="Q73" i="43"/>
  <c r="K73" i="43"/>
  <c r="S73" i="43" s="1"/>
  <c r="T73" i="43" s="1"/>
  <c r="Q72" i="43"/>
  <c r="K72" i="43"/>
  <c r="S72" i="43"/>
  <c r="T72" i="43"/>
  <c r="Q71" i="43"/>
  <c r="K71" i="43"/>
  <c r="S71" i="43" s="1"/>
  <c r="T71" i="43" s="1"/>
  <c r="Q70" i="43"/>
  <c r="P70" i="43"/>
  <c r="N70" i="43"/>
  <c r="K70" i="43"/>
  <c r="S70" i="43" s="1"/>
  <c r="T70" i="43" s="1"/>
  <c r="F70" i="43"/>
  <c r="F89" i="43"/>
  <c r="Q69" i="43"/>
  <c r="P69" i="43"/>
  <c r="N69" i="43"/>
  <c r="K69" i="43"/>
  <c r="S69" i="43"/>
  <c r="T69" i="43" s="1"/>
  <c r="Q68" i="43"/>
  <c r="P68" i="43"/>
  <c r="N68" i="43"/>
  <c r="K68" i="43"/>
  <c r="S68" i="43"/>
  <c r="T68" i="43"/>
  <c r="Q67" i="43"/>
  <c r="K67" i="43"/>
  <c r="S67" i="43" s="1"/>
  <c r="T67" i="43" s="1"/>
  <c r="Q66" i="43"/>
  <c r="P66" i="43"/>
  <c r="N66" i="43"/>
  <c r="K66" i="43"/>
  <c r="S66" i="43" s="1"/>
  <c r="T66" i="43" s="1"/>
  <c r="Q65" i="43"/>
  <c r="P65" i="43"/>
  <c r="N65" i="43"/>
  <c r="K65" i="43"/>
  <c r="S65" i="43"/>
  <c r="T65" i="43"/>
  <c r="Q64" i="43"/>
  <c r="K64" i="43"/>
  <c r="S64" i="43" s="1"/>
  <c r="T64" i="43" s="1"/>
  <c r="Q63" i="43"/>
  <c r="P63" i="43"/>
  <c r="N63" i="43"/>
  <c r="K63" i="43"/>
  <c r="S63" i="43"/>
  <c r="T63" i="43" s="1"/>
  <c r="Q62" i="43"/>
  <c r="P62" i="43"/>
  <c r="N62" i="43"/>
  <c r="K62" i="43"/>
  <c r="S62" i="43"/>
  <c r="T62" i="43"/>
  <c r="Q61" i="43"/>
  <c r="K61" i="43"/>
  <c r="S61" i="43" s="1"/>
  <c r="T61" i="43" s="1"/>
  <c r="N60" i="43"/>
  <c r="K60" i="43"/>
  <c r="S60" i="43"/>
  <c r="T60" i="43"/>
  <c r="Q59" i="43"/>
  <c r="P59" i="43"/>
  <c r="N59" i="43"/>
  <c r="K59" i="43"/>
  <c r="K89" i="43" s="1"/>
  <c r="Q58" i="43"/>
  <c r="Q57" i="43"/>
  <c r="O56" i="43"/>
  <c r="O110" i="43" s="1"/>
  <c r="M56" i="43"/>
  <c r="N56" i="43" s="1"/>
  <c r="L56" i="43"/>
  <c r="J56" i="43"/>
  <c r="I56" i="43"/>
  <c r="I110" i="43" s="1"/>
  <c r="H56" i="43"/>
  <c r="G56" i="43"/>
  <c r="E56" i="43"/>
  <c r="Q55" i="43"/>
  <c r="P55" i="43"/>
  <c r="N55" i="43"/>
  <c r="K55" i="43"/>
  <c r="S55" i="43" s="1"/>
  <c r="T55" i="43" s="1"/>
  <c r="Q54" i="43"/>
  <c r="P54" i="43"/>
  <c r="N54" i="43"/>
  <c r="K54" i="43"/>
  <c r="S54" i="43" s="1"/>
  <c r="T54" i="43" s="1"/>
  <c r="Q53" i="43"/>
  <c r="P53" i="43"/>
  <c r="N53" i="43"/>
  <c r="K53" i="43"/>
  <c r="S53" i="43" s="1"/>
  <c r="T53" i="43" s="1"/>
  <c r="Q52" i="43"/>
  <c r="P52" i="43"/>
  <c r="N52" i="43"/>
  <c r="K52" i="43"/>
  <c r="S52" i="43"/>
  <c r="T52" i="43"/>
  <c r="Q51" i="43"/>
  <c r="P51" i="43"/>
  <c r="N51" i="43"/>
  <c r="K51" i="43"/>
  <c r="S51" i="43" s="1"/>
  <c r="T51" i="43" s="1"/>
  <c r="Q50" i="43"/>
  <c r="P50" i="43"/>
  <c r="N50" i="43"/>
  <c r="K50" i="43"/>
  <c r="S50" i="43" s="1"/>
  <c r="T50" i="43" s="1"/>
  <c r="Q49" i="43"/>
  <c r="P49" i="43"/>
  <c r="N49" i="43"/>
  <c r="K49" i="43"/>
  <c r="S49" i="43" s="1"/>
  <c r="T49" i="43" s="1"/>
  <c r="Q48" i="43"/>
  <c r="K48" i="43"/>
  <c r="S48" i="43" s="1"/>
  <c r="T48" i="43" s="1"/>
  <c r="Q47" i="43"/>
  <c r="P47" i="43"/>
  <c r="N47" i="43"/>
  <c r="K47" i="43"/>
  <c r="S47" i="43" s="1"/>
  <c r="T47" i="43" s="1"/>
  <c r="F47" i="43"/>
  <c r="Q46" i="43"/>
  <c r="K46" i="43"/>
  <c r="S46" i="43"/>
  <c r="T46" i="43"/>
  <c r="Q45" i="43"/>
  <c r="P45" i="43"/>
  <c r="N45" i="43"/>
  <c r="K45" i="43"/>
  <c r="S45" i="43"/>
  <c r="T45" i="43"/>
  <c r="Q44" i="43"/>
  <c r="K44" i="43"/>
  <c r="S44" i="43" s="1"/>
  <c r="T44" i="43" s="1"/>
  <c r="F44" i="43"/>
  <c r="Q43" i="43"/>
  <c r="P43" i="43"/>
  <c r="N43" i="43"/>
  <c r="K43" i="43"/>
  <c r="S43" i="43" s="1"/>
  <c r="T43" i="43" s="1"/>
  <c r="Q42" i="43"/>
  <c r="K42" i="43"/>
  <c r="S42" i="43" s="1"/>
  <c r="T42" i="43" s="1"/>
  <c r="Q41" i="43"/>
  <c r="P41" i="43"/>
  <c r="N41" i="43"/>
  <c r="K41" i="43"/>
  <c r="S41" i="43" s="1"/>
  <c r="T41" i="43" s="1"/>
  <c r="Q40" i="43"/>
  <c r="P40" i="43"/>
  <c r="N40" i="43"/>
  <c r="K40" i="43"/>
  <c r="S40" i="43"/>
  <c r="T40" i="43" s="1"/>
  <c r="Q39" i="43"/>
  <c r="P39" i="43"/>
  <c r="N39" i="43"/>
  <c r="K39" i="43"/>
  <c r="S39" i="43"/>
  <c r="T39" i="43"/>
  <c r="Q38" i="43"/>
  <c r="P38" i="43"/>
  <c r="N38" i="43"/>
  <c r="K38" i="43"/>
  <c r="Q37" i="43"/>
  <c r="K37" i="43"/>
  <c r="S37" i="43"/>
  <c r="T37" i="43"/>
  <c r="Q36" i="43"/>
  <c r="K36" i="43"/>
  <c r="S36" i="43" s="1"/>
  <c r="T36" i="43" s="1"/>
  <c r="Q35" i="43"/>
  <c r="P35" i="43"/>
  <c r="N35" i="43"/>
  <c r="K35" i="43"/>
  <c r="S35" i="43" s="1"/>
  <c r="T35" i="43" s="1"/>
  <c r="Q34" i="43"/>
  <c r="P34" i="43"/>
  <c r="N34" i="43"/>
  <c r="K34" i="43"/>
  <c r="S34" i="43"/>
  <c r="T34" i="43"/>
  <c r="Q33" i="43"/>
  <c r="P33" i="43"/>
  <c r="N33" i="43"/>
  <c r="K33" i="43"/>
  <c r="S33" i="43" s="1"/>
  <c r="T33" i="43" s="1"/>
  <c r="Q32" i="43"/>
  <c r="K32" i="43"/>
  <c r="S32" i="43"/>
  <c r="T32" i="43" s="1"/>
  <c r="Q31" i="43"/>
  <c r="P31" i="43"/>
  <c r="N31" i="43"/>
  <c r="K31" i="43"/>
  <c r="S31" i="43"/>
  <c r="T31" i="43"/>
  <c r="Q30" i="43"/>
  <c r="P30" i="43"/>
  <c r="N30" i="43"/>
  <c r="K30" i="43"/>
  <c r="S30" i="43" s="1"/>
  <c r="T30" i="43" s="1"/>
  <c r="F30" i="43"/>
  <c r="Q29" i="43"/>
  <c r="P29" i="43"/>
  <c r="N29" i="43"/>
  <c r="K29" i="43"/>
  <c r="S29" i="43"/>
  <c r="T29" i="43" s="1"/>
  <c r="Q28" i="43"/>
  <c r="P28" i="43"/>
  <c r="N28" i="43"/>
  <c r="K28" i="43"/>
  <c r="S28" i="43" s="1"/>
  <c r="T28" i="43" s="1"/>
  <c r="Q27" i="43"/>
  <c r="P27" i="43"/>
  <c r="N27" i="43"/>
  <c r="K27" i="43"/>
  <c r="Q26" i="43"/>
  <c r="P26" i="43"/>
  <c r="N26" i="43"/>
  <c r="K26" i="43"/>
  <c r="K56" i="43"/>
  <c r="F26" i="43"/>
  <c r="O22" i="43"/>
  <c r="M22" i="43"/>
  <c r="L22" i="43"/>
  <c r="J22" i="43"/>
  <c r="I22" i="43"/>
  <c r="H22" i="43"/>
  <c r="G22" i="43"/>
  <c r="G9" i="43"/>
  <c r="G23" i="43"/>
  <c r="F22" i="43"/>
  <c r="F23" i="43" s="1"/>
  <c r="E22" i="43"/>
  <c r="E23" i="43" s="1"/>
  <c r="K21" i="43"/>
  <c r="P20" i="43"/>
  <c r="N20" i="43"/>
  <c r="K20" i="43"/>
  <c r="K19" i="43"/>
  <c r="K18" i="43"/>
  <c r="K17" i="43"/>
  <c r="K16" i="43"/>
  <c r="K15" i="43"/>
  <c r="K14" i="43"/>
  <c r="K13" i="43"/>
  <c r="K12" i="43"/>
  <c r="K22" i="43"/>
  <c r="O9" i="43"/>
  <c r="O23" i="43" s="1"/>
  <c r="M9" i="43"/>
  <c r="L9" i="43"/>
  <c r="P9" i="43" s="1"/>
  <c r="J9" i="43"/>
  <c r="I9" i="43"/>
  <c r="H9" i="43"/>
  <c r="F9" i="43"/>
  <c r="E9" i="43"/>
  <c r="K8" i="43"/>
  <c r="K7" i="43"/>
  <c r="P6" i="43"/>
  <c r="N6" i="43"/>
  <c r="K6" i="43"/>
  <c r="P5" i="43"/>
  <c r="N5" i="43"/>
  <c r="K5" i="43"/>
  <c r="K9" i="43"/>
  <c r="K23" i="43" s="1"/>
  <c r="O3" i="43"/>
  <c r="P3" i="43" s="1"/>
  <c r="N3" i="43"/>
  <c r="W217" i="28"/>
  <c r="L150" i="28"/>
  <c r="R149" i="28"/>
  <c r="J149" i="28"/>
  <c r="I149" i="28"/>
  <c r="H149" i="28"/>
  <c r="C149" i="28"/>
  <c r="T148" i="28"/>
  <c r="S148" i="28"/>
  <c r="G148" i="28"/>
  <c r="G149" i="28"/>
  <c r="E148" i="28"/>
  <c r="D148" i="28"/>
  <c r="E147" i="28"/>
  <c r="E149" i="28" s="1"/>
  <c r="D147" i="28"/>
  <c r="D149" i="28" s="1"/>
  <c r="L146" i="28"/>
  <c r="L145" i="28"/>
  <c r="D144" i="28"/>
  <c r="L143" i="28"/>
  <c r="T142" i="28"/>
  <c r="S142" i="28"/>
  <c r="Q142" i="28"/>
  <c r="P142" i="28"/>
  <c r="O142" i="28"/>
  <c r="N142" i="28"/>
  <c r="M142" i="28"/>
  <c r="L142" i="28"/>
  <c r="G142" i="28"/>
  <c r="E142" i="28"/>
  <c r="D142" i="28"/>
  <c r="L141" i="28"/>
  <c r="L139" i="28"/>
  <c r="L137" i="28"/>
  <c r="R136" i="28"/>
  <c r="J136" i="28"/>
  <c r="L136" i="28" s="1"/>
  <c r="H136" i="28"/>
  <c r="C136" i="28"/>
  <c r="T135" i="28"/>
  <c r="S135" i="28"/>
  <c r="Q135" i="28"/>
  <c r="P135" i="28"/>
  <c r="O135" i="28"/>
  <c r="N135" i="28"/>
  <c r="M135" i="28"/>
  <c r="L135" i="28"/>
  <c r="G135" i="28"/>
  <c r="E135" i="28"/>
  <c r="D135" i="28"/>
  <c r="T134" i="28"/>
  <c r="S134" i="28"/>
  <c r="Q134" i="28"/>
  <c r="P134" i="28"/>
  <c r="O134" i="28"/>
  <c r="N134" i="28"/>
  <c r="M134" i="28"/>
  <c r="L134" i="28"/>
  <c r="G134" i="28"/>
  <c r="E134" i="28"/>
  <c r="D134" i="28"/>
  <c r="T133" i="28"/>
  <c r="S133" i="28"/>
  <c r="Q133" i="28"/>
  <c r="P133" i="28"/>
  <c r="O133" i="28"/>
  <c r="N133" i="28"/>
  <c r="M133" i="28"/>
  <c r="L133" i="28"/>
  <c r="G133" i="28"/>
  <c r="E133" i="28"/>
  <c r="D133" i="28"/>
  <c r="T132" i="28"/>
  <c r="S132" i="28"/>
  <c r="Q132" i="28"/>
  <c r="P132" i="28"/>
  <c r="O132" i="28"/>
  <c r="N132" i="28"/>
  <c r="M132" i="28"/>
  <c r="L132" i="28"/>
  <c r="G132" i="28"/>
  <c r="E132" i="28"/>
  <c r="D132" i="28"/>
  <c r="T131" i="28"/>
  <c r="S131" i="28"/>
  <c r="Q131" i="28"/>
  <c r="P131" i="28"/>
  <c r="O131" i="28"/>
  <c r="N131" i="28"/>
  <c r="M131" i="28"/>
  <c r="L131" i="28"/>
  <c r="G131" i="28"/>
  <c r="E131" i="28"/>
  <c r="D131" i="28"/>
  <c r="T130" i="28"/>
  <c r="S130" i="28"/>
  <c r="Q130" i="28"/>
  <c r="P130" i="28"/>
  <c r="O130" i="28"/>
  <c r="N130" i="28"/>
  <c r="M130" i="28"/>
  <c r="L130" i="28"/>
  <c r="G130" i="28"/>
  <c r="E130" i="28"/>
  <c r="D130" i="28"/>
  <c r="T129" i="28"/>
  <c r="S129" i="28"/>
  <c r="Q129" i="28"/>
  <c r="P129" i="28"/>
  <c r="O129" i="28"/>
  <c r="N129" i="28"/>
  <c r="M129" i="28"/>
  <c r="L129" i="28"/>
  <c r="G129" i="28"/>
  <c r="E129" i="28"/>
  <c r="D129" i="28"/>
  <c r="T128" i="28"/>
  <c r="S128" i="28"/>
  <c r="Q128" i="28"/>
  <c r="P128" i="28"/>
  <c r="O128" i="28"/>
  <c r="N128" i="28"/>
  <c r="M128" i="28"/>
  <c r="L128" i="28"/>
  <c r="I128" i="28"/>
  <c r="G128" i="28"/>
  <c r="E128" i="28"/>
  <c r="D128" i="28"/>
  <c r="T127" i="28"/>
  <c r="S127" i="28"/>
  <c r="Q127" i="28"/>
  <c r="P127" i="28"/>
  <c r="O127" i="28"/>
  <c r="N127" i="28"/>
  <c r="M127" i="28"/>
  <c r="L127" i="28"/>
  <c r="I127" i="28"/>
  <c r="G127" i="28"/>
  <c r="E127" i="28"/>
  <c r="D127" i="28"/>
  <c r="T126" i="28"/>
  <c r="S126" i="28"/>
  <c r="Q126" i="28"/>
  <c r="P126" i="28"/>
  <c r="O126" i="28"/>
  <c r="N126" i="28"/>
  <c r="M126" i="28"/>
  <c r="L126" i="28"/>
  <c r="I126" i="28"/>
  <c r="G126" i="28"/>
  <c r="E126" i="28"/>
  <c r="D126" i="28"/>
  <c r="T125" i="28"/>
  <c r="S125" i="28"/>
  <c r="Q125" i="28"/>
  <c r="P125" i="28"/>
  <c r="O125" i="28"/>
  <c r="N125" i="28"/>
  <c r="M125" i="28"/>
  <c r="L125" i="28"/>
  <c r="I125" i="28"/>
  <c r="G125" i="28"/>
  <c r="E125" i="28"/>
  <c r="D125" i="28"/>
  <c r="T124" i="28"/>
  <c r="P124" i="28"/>
  <c r="O124" i="28"/>
  <c r="N124" i="28"/>
  <c r="M124" i="28"/>
  <c r="L124" i="28"/>
  <c r="E124" i="28"/>
  <c r="D124" i="28"/>
  <c r="T123" i="28"/>
  <c r="S123" i="28"/>
  <c r="Q123" i="28"/>
  <c r="P123" i="28"/>
  <c r="O123" i="28"/>
  <c r="N123" i="28"/>
  <c r="M123" i="28"/>
  <c r="L123" i="28"/>
  <c r="I123" i="28"/>
  <c r="G123" i="28"/>
  <c r="E123" i="28"/>
  <c r="D123" i="28"/>
  <c r="T122" i="28"/>
  <c r="P122" i="28"/>
  <c r="O122" i="28"/>
  <c r="N122" i="28"/>
  <c r="M122" i="28"/>
  <c r="L122" i="28"/>
  <c r="G122" i="28"/>
  <c r="E122" i="28"/>
  <c r="D122" i="28"/>
  <c r="K121" i="28"/>
  <c r="P121" i="28"/>
  <c r="I121" i="28"/>
  <c r="G121" i="28"/>
  <c r="E121" i="28"/>
  <c r="D121" i="28"/>
  <c r="T120" i="28"/>
  <c r="P120" i="28"/>
  <c r="O120" i="28"/>
  <c r="N120" i="28"/>
  <c r="M120" i="28"/>
  <c r="L120" i="28"/>
  <c r="I120" i="28"/>
  <c r="G120" i="28"/>
  <c r="E120" i="28"/>
  <c r="D120" i="28"/>
  <c r="T119" i="28"/>
  <c r="S119" i="28"/>
  <c r="Q119" i="28"/>
  <c r="P119" i="28"/>
  <c r="P136" i="28" s="1"/>
  <c r="O119" i="28"/>
  <c r="N119" i="28"/>
  <c r="M119" i="28"/>
  <c r="L119" i="28"/>
  <c r="I119" i="28"/>
  <c r="G119" i="28"/>
  <c r="E119" i="28"/>
  <c r="E136" i="28"/>
  <c r="D119" i="28"/>
  <c r="D136" i="28" s="1"/>
  <c r="L118" i="28"/>
  <c r="L117" i="28"/>
  <c r="J116" i="28"/>
  <c r="I116" i="28"/>
  <c r="H116" i="28"/>
  <c r="G116" i="28"/>
  <c r="C116" i="28"/>
  <c r="T115" i="28"/>
  <c r="S115" i="28"/>
  <c r="Q115" i="28"/>
  <c r="P115" i="28"/>
  <c r="O115" i="28"/>
  <c r="N115" i="28"/>
  <c r="M115" i="28"/>
  <c r="L115" i="28"/>
  <c r="T114" i="28"/>
  <c r="S114" i="28"/>
  <c r="Q114" i="28"/>
  <c r="P114" i="28"/>
  <c r="O114" i="28"/>
  <c r="N114" i="28"/>
  <c r="M114" i="28"/>
  <c r="L114" i="28"/>
  <c r="T113" i="28"/>
  <c r="S113" i="28"/>
  <c r="Q113" i="28"/>
  <c r="P113" i="28"/>
  <c r="O113" i="28"/>
  <c r="N113" i="28"/>
  <c r="M113" i="28"/>
  <c r="L113" i="28"/>
  <c r="T112" i="28"/>
  <c r="S112" i="28"/>
  <c r="Q112" i="28"/>
  <c r="P112" i="28"/>
  <c r="O112" i="28"/>
  <c r="N112" i="28"/>
  <c r="M112" i="28"/>
  <c r="L112" i="28"/>
  <c r="T111" i="28"/>
  <c r="S111" i="28"/>
  <c r="Q111" i="28"/>
  <c r="P111" i="28"/>
  <c r="O111" i="28"/>
  <c r="N111" i="28"/>
  <c r="M111" i="28"/>
  <c r="L111" i="28"/>
  <c r="T110" i="28"/>
  <c r="S110" i="28"/>
  <c r="Q110" i="28"/>
  <c r="P110" i="28"/>
  <c r="O110" i="28"/>
  <c r="N110" i="28"/>
  <c r="M110" i="28"/>
  <c r="L110" i="28"/>
  <c r="T109" i="28"/>
  <c r="S109" i="28"/>
  <c r="Q109" i="28"/>
  <c r="P109" i="28"/>
  <c r="O109" i="28"/>
  <c r="N109" i="28"/>
  <c r="M109" i="28"/>
  <c r="L109" i="28"/>
  <c r="T108" i="28"/>
  <c r="S108" i="28"/>
  <c r="Q108" i="28"/>
  <c r="P108" i="28"/>
  <c r="O108" i="28"/>
  <c r="N108" i="28"/>
  <c r="M108" i="28"/>
  <c r="L108" i="28"/>
  <c r="T107" i="28"/>
  <c r="S107" i="28"/>
  <c r="Q107" i="28"/>
  <c r="P107" i="28"/>
  <c r="O107" i="28"/>
  <c r="N107" i="28"/>
  <c r="M107" i="28"/>
  <c r="L107" i="28"/>
  <c r="R106" i="28"/>
  <c r="T106" i="28" s="1"/>
  <c r="P106" i="28"/>
  <c r="P104" i="28"/>
  <c r="P105" i="28"/>
  <c r="P116" i="28" s="1"/>
  <c r="N106" i="28"/>
  <c r="K116" i="28"/>
  <c r="L116" i="28" s="1"/>
  <c r="E106" i="28"/>
  <c r="D106" i="28"/>
  <c r="T105" i="28"/>
  <c r="O105" i="28"/>
  <c r="N105" i="28"/>
  <c r="M105" i="28"/>
  <c r="L105" i="28"/>
  <c r="E105" i="28"/>
  <c r="D105" i="28"/>
  <c r="T104" i="28"/>
  <c r="O104" i="28"/>
  <c r="N104" i="28"/>
  <c r="N116" i="28" s="1"/>
  <c r="M104" i="28"/>
  <c r="M116" i="28" s="1"/>
  <c r="L104" i="28"/>
  <c r="E104" i="28"/>
  <c r="E116" i="28" s="1"/>
  <c r="D104" i="28"/>
  <c r="D116" i="28"/>
  <c r="L103" i="28"/>
  <c r="L102" i="28"/>
  <c r="R101" i="28"/>
  <c r="J101" i="28"/>
  <c r="H101" i="28"/>
  <c r="C101" i="28"/>
  <c r="T100" i="28"/>
  <c r="S100" i="28"/>
  <c r="Q100" i="28"/>
  <c r="P100" i="28"/>
  <c r="O100" i="28"/>
  <c r="N100" i="28"/>
  <c r="M100" i="28"/>
  <c r="L100" i="28"/>
  <c r="I100" i="28"/>
  <c r="G100" i="28"/>
  <c r="E100" i="28"/>
  <c r="D100" i="28"/>
  <c r="T99" i="28"/>
  <c r="S99" i="28"/>
  <c r="Q99" i="28"/>
  <c r="P99" i="28"/>
  <c r="O99" i="28"/>
  <c r="N99" i="28"/>
  <c r="M99" i="28"/>
  <c r="L99" i="28"/>
  <c r="I99" i="28"/>
  <c r="G99" i="28"/>
  <c r="E99" i="28"/>
  <c r="D99" i="28"/>
  <c r="T98" i="28"/>
  <c r="S98" i="28"/>
  <c r="Q98" i="28"/>
  <c r="P98" i="28"/>
  <c r="O98" i="28"/>
  <c r="N98" i="28"/>
  <c r="M98" i="28"/>
  <c r="L98" i="28"/>
  <c r="I98" i="28"/>
  <c r="G98" i="28"/>
  <c r="E98" i="28"/>
  <c r="D98" i="28"/>
  <c r="T97" i="28"/>
  <c r="S97" i="28"/>
  <c r="Q97" i="28"/>
  <c r="P97" i="28"/>
  <c r="O97" i="28"/>
  <c r="N97" i="28"/>
  <c r="M97" i="28"/>
  <c r="L97" i="28"/>
  <c r="I97" i="28"/>
  <c r="G97" i="28"/>
  <c r="T96" i="28"/>
  <c r="S96" i="28"/>
  <c r="Q96" i="28"/>
  <c r="P96" i="28"/>
  <c r="O96" i="28"/>
  <c r="N96" i="28"/>
  <c r="M96" i="28"/>
  <c r="L96" i="28"/>
  <c r="I96" i="28"/>
  <c r="G96" i="28"/>
  <c r="E96" i="28"/>
  <c r="D96" i="28"/>
  <c r="T95" i="28"/>
  <c r="S95" i="28"/>
  <c r="Q95" i="28"/>
  <c r="P95" i="28"/>
  <c r="O95" i="28"/>
  <c r="N95" i="28"/>
  <c r="M95" i="28"/>
  <c r="L95" i="28"/>
  <c r="I95" i="28"/>
  <c r="G95" i="28"/>
  <c r="E95" i="28"/>
  <c r="D95" i="28"/>
  <c r="T94" i="28"/>
  <c r="S94" i="28"/>
  <c r="Q94" i="28"/>
  <c r="P94" i="28"/>
  <c r="O94" i="28"/>
  <c r="N94" i="28"/>
  <c r="M94" i="28"/>
  <c r="L94" i="28"/>
  <c r="I94" i="28"/>
  <c r="G94" i="28"/>
  <c r="E94" i="28"/>
  <c r="D94" i="28"/>
  <c r="T93" i="28"/>
  <c r="S93" i="28"/>
  <c r="Q93" i="28"/>
  <c r="P93" i="28"/>
  <c r="O93" i="28"/>
  <c r="N93" i="28"/>
  <c r="M93" i="28"/>
  <c r="L93" i="28"/>
  <c r="I93" i="28"/>
  <c r="G93" i="28"/>
  <c r="E93" i="28"/>
  <c r="D93" i="28"/>
  <c r="T92" i="28"/>
  <c r="P92" i="28"/>
  <c r="O92" i="28"/>
  <c r="N92" i="28"/>
  <c r="M92" i="28"/>
  <c r="L92" i="28"/>
  <c r="I92" i="28"/>
  <c r="G92" i="28"/>
  <c r="E92" i="28"/>
  <c r="D92" i="28"/>
  <c r="T91" i="28"/>
  <c r="S91" i="28"/>
  <c r="I91" i="28"/>
  <c r="G91" i="28"/>
  <c r="E91" i="28"/>
  <c r="D91" i="28"/>
  <c r="I90" i="28"/>
  <c r="G90" i="28"/>
  <c r="E90" i="28"/>
  <c r="D90" i="28"/>
  <c r="T89" i="28"/>
  <c r="S89" i="28"/>
  <c r="Q89" i="28"/>
  <c r="P89" i="28"/>
  <c r="O89" i="28"/>
  <c r="N89" i="28"/>
  <c r="M89" i="28"/>
  <c r="L89" i="28"/>
  <c r="I89" i="28"/>
  <c r="G89" i="28"/>
  <c r="E89" i="28"/>
  <c r="D89" i="28"/>
  <c r="I88" i="28"/>
  <c r="G88" i="28"/>
  <c r="E88" i="28"/>
  <c r="D88" i="28"/>
  <c r="I87" i="28"/>
  <c r="G87" i="28"/>
  <c r="E87" i="28"/>
  <c r="D87" i="28"/>
  <c r="T86" i="28"/>
  <c r="S86" i="28"/>
  <c r="I86" i="28"/>
  <c r="G86" i="28"/>
  <c r="E86" i="28"/>
  <c r="D86" i="28"/>
  <c r="I85" i="28"/>
  <c r="G85" i="28"/>
  <c r="E85" i="28"/>
  <c r="D85" i="28"/>
  <c r="I84" i="28"/>
  <c r="G84" i="28"/>
  <c r="E84" i="28"/>
  <c r="D84" i="28"/>
  <c r="I83" i="28"/>
  <c r="G83" i="28"/>
  <c r="E83" i="28"/>
  <c r="D83" i="28"/>
  <c r="I82" i="28"/>
  <c r="G82" i="28"/>
  <c r="E82" i="28"/>
  <c r="D82" i="28"/>
  <c r="G81" i="28"/>
  <c r="E81" i="28"/>
  <c r="D81" i="28"/>
  <c r="I80" i="28"/>
  <c r="G80" i="28"/>
  <c r="E80" i="28"/>
  <c r="D80" i="28"/>
  <c r="T79" i="28"/>
  <c r="S79" i="28"/>
  <c r="I79" i="28"/>
  <c r="G79" i="28"/>
  <c r="E79" i="28"/>
  <c r="D79" i="28"/>
  <c r="I78" i="28"/>
  <c r="G78" i="28"/>
  <c r="E78" i="28"/>
  <c r="D78" i="28"/>
  <c r="I77" i="28"/>
  <c r="G77" i="28"/>
  <c r="E77" i="28"/>
  <c r="D77" i="28"/>
  <c r="I76" i="28"/>
  <c r="G76" i="28"/>
  <c r="E76" i="28"/>
  <c r="D76" i="28"/>
  <c r="I75" i="28"/>
  <c r="I101" i="28" s="1"/>
  <c r="G75" i="28"/>
  <c r="E75" i="28"/>
  <c r="D75" i="28"/>
  <c r="T74" i="28"/>
  <c r="S74" i="28"/>
  <c r="I74" i="28"/>
  <c r="G74" i="28"/>
  <c r="E74" i="28"/>
  <c r="D74" i="28"/>
  <c r="T73" i="28"/>
  <c r="S73" i="28"/>
  <c r="I73" i="28"/>
  <c r="G73" i="28"/>
  <c r="E73" i="28"/>
  <c r="D73" i="28"/>
  <c r="T72" i="28"/>
  <c r="S72" i="28"/>
  <c r="I72" i="28"/>
  <c r="G72" i="28"/>
  <c r="E72" i="28"/>
  <c r="E101" i="28"/>
  <c r="D72" i="28"/>
  <c r="D101" i="28"/>
  <c r="D138" i="28" s="1"/>
  <c r="D140" i="28" s="1"/>
  <c r="L71" i="28"/>
  <c r="L70" i="28"/>
  <c r="J69" i="28"/>
  <c r="H69" i="28"/>
  <c r="C69" i="28"/>
  <c r="T68" i="28"/>
  <c r="S68" i="28"/>
  <c r="Q68" i="28"/>
  <c r="P68" i="28"/>
  <c r="O68" i="28"/>
  <c r="N68" i="28"/>
  <c r="M68" i="28"/>
  <c r="L68" i="28"/>
  <c r="G68" i="28"/>
  <c r="E68" i="28"/>
  <c r="D68" i="28"/>
  <c r="T67" i="28"/>
  <c r="S67" i="28"/>
  <c r="Q67" i="28"/>
  <c r="P67" i="28"/>
  <c r="O67" i="28"/>
  <c r="N67" i="28"/>
  <c r="M67" i="28"/>
  <c r="L67" i="28"/>
  <c r="G67" i="28"/>
  <c r="E67" i="28"/>
  <c r="D67" i="28"/>
  <c r="T66" i="28"/>
  <c r="S66" i="28"/>
  <c r="Q66" i="28"/>
  <c r="P66" i="28"/>
  <c r="O66" i="28"/>
  <c r="N66" i="28"/>
  <c r="M66" i="28"/>
  <c r="L66" i="28"/>
  <c r="G66" i="28"/>
  <c r="E66" i="28"/>
  <c r="D66" i="28"/>
  <c r="T65" i="28"/>
  <c r="S65" i="28"/>
  <c r="Q65" i="28"/>
  <c r="P65" i="28"/>
  <c r="O65" i="28"/>
  <c r="N65" i="28"/>
  <c r="M65" i="28"/>
  <c r="L65" i="28"/>
  <c r="G65" i="28"/>
  <c r="E65" i="28"/>
  <c r="D65" i="28"/>
  <c r="T64" i="28"/>
  <c r="P64" i="28"/>
  <c r="O64" i="28"/>
  <c r="N64" i="28"/>
  <c r="M64" i="28"/>
  <c r="L64" i="28"/>
  <c r="I64" i="28"/>
  <c r="G64" i="28"/>
  <c r="E64" i="28"/>
  <c r="D64" i="28"/>
  <c r="T63" i="28"/>
  <c r="P63" i="28"/>
  <c r="O63" i="28"/>
  <c r="N63" i="28"/>
  <c r="M63" i="28"/>
  <c r="L63" i="28"/>
  <c r="I63" i="28"/>
  <c r="G63" i="28"/>
  <c r="E63" i="28"/>
  <c r="D63" i="28"/>
  <c r="T62" i="28"/>
  <c r="S62" i="28"/>
  <c r="Q62" i="28"/>
  <c r="P62" i="28"/>
  <c r="O62" i="28"/>
  <c r="N62" i="28"/>
  <c r="M62" i="28"/>
  <c r="L62" i="28"/>
  <c r="I62" i="28"/>
  <c r="G62" i="28"/>
  <c r="E62" i="28"/>
  <c r="D62" i="28"/>
  <c r="T61" i="28"/>
  <c r="S61" i="28"/>
  <c r="Q61" i="28"/>
  <c r="P61" i="28"/>
  <c r="O61" i="28"/>
  <c r="N61" i="28"/>
  <c r="M61" i="28"/>
  <c r="L61" i="28"/>
  <c r="I61" i="28"/>
  <c r="G61" i="28"/>
  <c r="E61" i="28"/>
  <c r="D61" i="28"/>
  <c r="T60" i="28"/>
  <c r="S60" i="28"/>
  <c r="Q60" i="28"/>
  <c r="P60" i="28"/>
  <c r="O60" i="28"/>
  <c r="N60" i="28"/>
  <c r="M60" i="28"/>
  <c r="L60" i="28"/>
  <c r="I60" i="28"/>
  <c r="G60" i="28"/>
  <c r="E60" i="28"/>
  <c r="D60" i="28"/>
  <c r="T59" i="28"/>
  <c r="S59" i="28"/>
  <c r="I59" i="28"/>
  <c r="G59" i="28"/>
  <c r="E59" i="28"/>
  <c r="D59" i="28"/>
  <c r="I58" i="28"/>
  <c r="G58" i="28"/>
  <c r="E58" i="28"/>
  <c r="D58" i="28"/>
  <c r="R57" i="28"/>
  <c r="R69" i="28"/>
  <c r="I57" i="28"/>
  <c r="G57" i="28"/>
  <c r="E57" i="28"/>
  <c r="D57" i="28"/>
  <c r="I56" i="28"/>
  <c r="G56" i="28"/>
  <c r="E56" i="28"/>
  <c r="D56" i="28"/>
  <c r="T55" i="28"/>
  <c r="S55" i="28"/>
  <c r="I55" i="28"/>
  <c r="G55" i="28"/>
  <c r="E55" i="28"/>
  <c r="D55" i="28"/>
  <c r="I54" i="28"/>
  <c r="G54" i="28"/>
  <c r="E54" i="28"/>
  <c r="D54" i="28"/>
  <c r="I53" i="28"/>
  <c r="I69" i="28" s="1"/>
  <c r="G53" i="28"/>
  <c r="G69" i="28" s="1"/>
  <c r="E53" i="28"/>
  <c r="E69" i="28" s="1"/>
  <c r="D53" i="28"/>
  <c r="D69" i="28"/>
  <c r="T52" i="28"/>
  <c r="S52" i="28"/>
  <c r="Q52" i="28"/>
  <c r="P52" i="28"/>
  <c r="O52" i="28"/>
  <c r="N52" i="28"/>
  <c r="M52" i="28"/>
  <c r="L52" i="28"/>
  <c r="L51" i="28"/>
  <c r="J50" i="28"/>
  <c r="H50" i="28"/>
  <c r="C50" i="28"/>
  <c r="I49" i="28"/>
  <c r="G49" i="28"/>
  <c r="E49" i="28"/>
  <c r="D49" i="28"/>
  <c r="T48" i="28"/>
  <c r="S48" i="28"/>
  <c r="Q48" i="28"/>
  <c r="P48" i="28"/>
  <c r="O48" i="28"/>
  <c r="N48" i="28"/>
  <c r="M48" i="28"/>
  <c r="L48" i="28"/>
  <c r="I48" i="28"/>
  <c r="G48" i="28"/>
  <c r="E48" i="28"/>
  <c r="D48" i="28"/>
  <c r="T47" i="28"/>
  <c r="S47" i="28"/>
  <c r="Q47" i="28"/>
  <c r="P47" i="28"/>
  <c r="O47" i="28"/>
  <c r="N47" i="28"/>
  <c r="M47" i="28"/>
  <c r="L47" i="28"/>
  <c r="I47" i="28"/>
  <c r="G47" i="28"/>
  <c r="E47" i="28"/>
  <c r="D47" i="28"/>
  <c r="I46" i="28"/>
  <c r="G46" i="28"/>
  <c r="E46" i="28"/>
  <c r="D46" i="28"/>
  <c r="T45" i="28"/>
  <c r="S45" i="28"/>
  <c r="I45" i="28"/>
  <c r="G45" i="28"/>
  <c r="E45" i="28"/>
  <c r="D45" i="28"/>
  <c r="T44" i="28"/>
  <c r="S44" i="28"/>
  <c r="Q44" i="28"/>
  <c r="P44" i="28"/>
  <c r="O44" i="28"/>
  <c r="N44" i="28"/>
  <c r="M44" i="28"/>
  <c r="L44" i="28"/>
  <c r="I44" i="28"/>
  <c r="G44" i="28"/>
  <c r="E44" i="28"/>
  <c r="D44" i="28"/>
  <c r="T43" i="28"/>
  <c r="S43" i="28"/>
  <c r="Q43" i="28"/>
  <c r="P43" i="28"/>
  <c r="O43" i="28"/>
  <c r="N43" i="28"/>
  <c r="M43" i="28"/>
  <c r="L43" i="28"/>
  <c r="I43" i="28"/>
  <c r="G43" i="28"/>
  <c r="E43" i="28"/>
  <c r="D43" i="28"/>
  <c r="I42" i="28"/>
  <c r="G42" i="28"/>
  <c r="E42" i="28"/>
  <c r="D42" i="28"/>
  <c r="I41" i="28"/>
  <c r="G41" i="28"/>
  <c r="E41" i="28"/>
  <c r="D41" i="28"/>
  <c r="I40" i="28"/>
  <c r="G40" i="28"/>
  <c r="E40" i="28"/>
  <c r="D40" i="28"/>
  <c r="T39" i="28"/>
  <c r="Q39" i="28"/>
  <c r="P39" i="28"/>
  <c r="O39" i="28"/>
  <c r="N39" i="28"/>
  <c r="M39" i="28"/>
  <c r="L39" i="28"/>
  <c r="I39" i="28"/>
  <c r="G39" i="28"/>
  <c r="E39" i="28"/>
  <c r="D39" i="28"/>
  <c r="I38" i="28"/>
  <c r="G38" i="28"/>
  <c r="E38" i="28"/>
  <c r="D38" i="28"/>
  <c r="T37" i="28"/>
  <c r="S37" i="28"/>
  <c r="I37" i="28"/>
  <c r="G37" i="28"/>
  <c r="E37" i="28"/>
  <c r="D37" i="28"/>
  <c r="I36" i="28"/>
  <c r="G36" i="28"/>
  <c r="E36" i="28"/>
  <c r="D36" i="28"/>
  <c r="R35" i="28"/>
  <c r="R50" i="28"/>
  <c r="I35" i="28"/>
  <c r="G35" i="28"/>
  <c r="E35" i="28"/>
  <c r="D35" i="28"/>
  <c r="I34" i="28"/>
  <c r="G34" i="28"/>
  <c r="E34" i="28"/>
  <c r="D34" i="28"/>
  <c r="I33" i="28"/>
  <c r="G33" i="28"/>
  <c r="E33" i="28"/>
  <c r="D33" i="28"/>
  <c r="I32" i="28"/>
  <c r="G32" i="28"/>
  <c r="E32" i="28"/>
  <c r="D32" i="28"/>
  <c r="T31" i="28"/>
  <c r="S31" i="28"/>
  <c r="I31" i="28"/>
  <c r="G31" i="28"/>
  <c r="E31" i="28"/>
  <c r="D31" i="28"/>
  <c r="I30" i="28"/>
  <c r="G30" i="28"/>
  <c r="E30" i="28"/>
  <c r="D30" i="28"/>
  <c r="I29" i="28"/>
  <c r="G29" i="28"/>
  <c r="E29" i="28"/>
  <c r="D29" i="28"/>
  <c r="I28" i="28"/>
  <c r="G28" i="28"/>
  <c r="E28" i="28"/>
  <c r="D28" i="28"/>
  <c r="I27" i="28"/>
  <c r="G27" i="28"/>
  <c r="E27" i="28"/>
  <c r="D27" i="28"/>
  <c r="I26" i="28"/>
  <c r="G26" i="28"/>
  <c r="E26" i="28"/>
  <c r="D26" i="28"/>
  <c r="I25" i="28"/>
  <c r="G25" i="28"/>
  <c r="E25" i="28"/>
  <c r="D25" i="28"/>
  <c r="I24" i="28"/>
  <c r="G24" i="28"/>
  <c r="E24" i="28"/>
  <c r="D24" i="28"/>
  <c r="I23" i="28"/>
  <c r="I50" i="28" s="1"/>
  <c r="I138" i="28" s="1"/>
  <c r="I140" i="28" s="1"/>
  <c r="G23" i="28"/>
  <c r="E23" i="28"/>
  <c r="E50" i="28"/>
  <c r="D23" i="28"/>
  <c r="D50" i="28"/>
  <c r="L22" i="28"/>
  <c r="L21" i="28"/>
  <c r="R20" i="28"/>
  <c r="R140" i="28" s="1"/>
  <c r="R151" i="28" s="1"/>
  <c r="J20" i="28"/>
  <c r="H20" i="28"/>
  <c r="C20" i="28"/>
  <c r="T19" i="28"/>
  <c r="S19" i="28"/>
  <c r="Q19" i="28"/>
  <c r="P19" i="28"/>
  <c r="O19" i="28"/>
  <c r="N19" i="28"/>
  <c r="M19" i="28"/>
  <c r="L19" i="28"/>
  <c r="I19" i="28"/>
  <c r="E19" i="28"/>
  <c r="D19" i="28"/>
  <c r="T18" i="28"/>
  <c r="S18" i="28"/>
  <c r="Q18" i="28"/>
  <c r="P18" i="28"/>
  <c r="O18" i="28"/>
  <c r="N18" i="28"/>
  <c r="M18" i="28"/>
  <c r="L18" i="28"/>
  <c r="I18" i="28"/>
  <c r="G18" i="28"/>
  <c r="E18" i="28"/>
  <c r="D18" i="28"/>
  <c r="I17" i="28"/>
  <c r="G17" i="28"/>
  <c r="E17" i="28"/>
  <c r="D17" i="28"/>
  <c r="T16" i="28"/>
  <c r="S16" i="28"/>
  <c r="I16" i="28"/>
  <c r="G16" i="28"/>
  <c r="E16" i="28"/>
  <c r="D16" i="28"/>
  <c r="T15" i="28"/>
  <c r="S15" i="28"/>
  <c r="I15" i="28"/>
  <c r="G15" i="28"/>
  <c r="E15" i="28"/>
  <c r="D15" i="28"/>
  <c r="T14" i="28"/>
  <c r="S14" i="28"/>
  <c r="I14" i="28"/>
  <c r="G14" i="28"/>
  <c r="E14" i="28"/>
  <c r="D14" i="28"/>
  <c r="I13" i="28"/>
  <c r="G13" i="28"/>
  <c r="E13" i="28"/>
  <c r="D13" i="28"/>
  <c r="T12" i="28"/>
  <c r="S12" i="28"/>
  <c r="I12" i="28"/>
  <c r="G12" i="28"/>
  <c r="E12" i="28"/>
  <c r="D12" i="28"/>
  <c r="T11" i="28"/>
  <c r="S11" i="28"/>
  <c r="I11" i="28"/>
  <c r="G11" i="28"/>
  <c r="E11" i="28"/>
  <c r="D11" i="28"/>
  <c r="T10" i="28"/>
  <c r="S10" i="28"/>
  <c r="I10" i="28"/>
  <c r="G10" i="28"/>
  <c r="E10" i="28"/>
  <c r="D10" i="28"/>
  <c r="I9" i="28"/>
  <c r="I20" i="28" s="1"/>
  <c r="G9" i="28"/>
  <c r="G20" i="28" s="1"/>
  <c r="E9" i="28"/>
  <c r="E20" i="28" s="1"/>
  <c r="D9" i="28"/>
  <c r="D20" i="28"/>
  <c r="K6" i="28"/>
  <c r="E6" i="28"/>
  <c r="D6" i="28"/>
  <c r="E5" i="28"/>
  <c r="G5" i="28" s="1"/>
  <c r="H5" i="28" s="1"/>
  <c r="K5" i="28" s="1"/>
  <c r="E4" i="28"/>
  <c r="G4" i="28"/>
  <c r="H4" i="28"/>
  <c r="B3" i="28"/>
  <c r="B1" i="28"/>
  <c r="H131" i="2"/>
  <c r="H128" i="2"/>
  <c r="H126" i="2"/>
  <c r="H110" i="2"/>
  <c r="H97" i="2"/>
  <c r="H96" i="2"/>
  <c r="H90" i="2"/>
  <c r="H89" i="2"/>
  <c r="H61" i="2"/>
  <c r="H60" i="2"/>
  <c r="H46" i="2"/>
  <c r="H45" i="2"/>
  <c r="H17" i="2"/>
  <c r="H16" i="2"/>
  <c r="CB3" i="31"/>
  <c r="CS3" i="31"/>
  <c r="CO3" i="31"/>
  <c r="BR3" i="31"/>
  <c r="BO3" i="31"/>
  <c r="BJ3" i="31"/>
  <c r="BF3" i="31"/>
  <c r="AY3" i="31"/>
  <c r="AX3" i="31"/>
  <c r="AN3" i="31"/>
  <c r="AL3" i="31"/>
  <c r="AE3" i="31"/>
  <c r="AD3" i="31"/>
  <c r="AC3" i="31"/>
  <c r="Y3" i="31"/>
  <c r="X3" i="31"/>
  <c r="W3" i="31"/>
  <c r="V3" i="31"/>
  <c r="R3" i="31"/>
  <c r="Q3" i="31"/>
  <c r="O3" i="31"/>
  <c r="L3" i="31"/>
  <c r="J3" i="31"/>
  <c r="I3" i="31"/>
  <c r="H3" i="31"/>
  <c r="G3" i="31"/>
  <c r="F3" i="31"/>
  <c r="E3" i="31"/>
  <c r="D3" i="31"/>
  <c r="L3" i="42"/>
  <c r="M3" i="42"/>
  <c r="N3" i="42" s="1"/>
  <c r="I5" i="42"/>
  <c r="I9" i="42"/>
  <c r="L5" i="42"/>
  <c r="N5" i="42"/>
  <c r="I6" i="42"/>
  <c r="L6" i="42"/>
  <c r="N6" i="42"/>
  <c r="I7" i="42"/>
  <c r="L7" i="42"/>
  <c r="N7" i="42"/>
  <c r="I8" i="42"/>
  <c r="L8" i="42"/>
  <c r="N8" i="42"/>
  <c r="E9" i="42"/>
  <c r="E23" i="42" s="1"/>
  <c r="F9" i="42"/>
  <c r="F23" i="42" s="1"/>
  <c r="G9" i="42"/>
  <c r="G23" i="42" s="1"/>
  <c r="G108" i="42" s="1"/>
  <c r="G121" i="42" s="1"/>
  <c r="G132" i="42" s="1"/>
  <c r="G142" i="42" s="1"/>
  <c r="G144" i="42" s="1"/>
  <c r="G146" i="42" s="1"/>
  <c r="G22" i="42"/>
  <c r="H9" i="42"/>
  <c r="J9" i="42"/>
  <c r="K9" i="42"/>
  <c r="K23" i="42" s="1"/>
  <c r="M9" i="42"/>
  <c r="I12" i="42"/>
  <c r="I22" i="42" s="1"/>
  <c r="I23" i="42" s="1"/>
  <c r="L12" i="42"/>
  <c r="N12" i="42"/>
  <c r="I13" i="42"/>
  <c r="L13" i="42"/>
  <c r="N13" i="42"/>
  <c r="I14" i="42"/>
  <c r="L14" i="42"/>
  <c r="N14" i="42"/>
  <c r="I15" i="42"/>
  <c r="L15" i="42"/>
  <c r="N15" i="42"/>
  <c r="I16" i="42"/>
  <c r="L16" i="42"/>
  <c r="N16" i="42"/>
  <c r="I17" i="42"/>
  <c r="L17" i="42"/>
  <c r="N17" i="42"/>
  <c r="I18" i="42"/>
  <c r="L18" i="42"/>
  <c r="N18" i="42"/>
  <c r="I19" i="42"/>
  <c r="L19" i="42"/>
  <c r="N19" i="42"/>
  <c r="I20" i="42"/>
  <c r="L20" i="42"/>
  <c r="N20" i="42"/>
  <c r="I21" i="42"/>
  <c r="L21" i="42"/>
  <c r="N21" i="42"/>
  <c r="E22" i="42"/>
  <c r="F22" i="42"/>
  <c r="H22" i="42"/>
  <c r="J22" i="42"/>
  <c r="K22" i="42"/>
  <c r="M22" i="42"/>
  <c r="F26" i="42"/>
  <c r="I26" i="42"/>
  <c r="I55" i="42" s="1"/>
  <c r="L26" i="42"/>
  <c r="N26" i="42"/>
  <c r="O26" i="42"/>
  <c r="L27" i="42"/>
  <c r="N27" i="42"/>
  <c r="O27" i="42"/>
  <c r="I28" i="42"/>
  <c r="L28" i="42"/>
  <c r="N28" i="42"/>
  <c r="O28" i="42"/>
  <c r="I29" i="42"/>
  <c r="L29" i="42"/>
  <c r="N29" i="42"/>
  <c r="O29" i="42"/>
  <c r="F30" i="42"/>
  <c r="I30" i="42"/>
  <c r="L30" i="42"/>
  <c r="N30" i="42"/>
  <c r="O30" i="42"/>
  <c r="I31" i="42"/>
  <c r="L31" i="42"/>
  <c r="N31" i="42"/>
  <c r="O31" i="42"/>
  <c r="L32" i="42"/>
  <c r="N32" i="42"/>
  <c r="O32" i="42"/>
  <c r="L33" i="42"/>
  <c r="N33" i="42"/>
  <c r="O33" i="42"/>
  <c r="I34" i="42"/>
  <c r="L34" i="42"/>
  <c r="N34" i="42"/>
  <c r="O34" i="42"/>
  <c r="I35" i="42"/>
  <c r="L35" i="42"/>
  <c r="N35" i="42"/>
  <c r="O35" i="42"/>
  <c r="I36" i="42"/>
  <c r="L36" i="42"/>
  <c r="N36" i="42"/>
  <c r="O36" i="42"/>
  <c r="I37" i="42"/>
  <c r="L37" i="42"/>
  <c r="N37" i="42"/>
  <c r="O37" i="42"/>
  <c r="I38" i="42"/>
  <c r="L38" i="42"/>
  <c r="N38" i="42"/>
  <c r="O38" i="42"/>
  <c r="I39" i="42"/>
  <c r="L39" i="42"/>
  <c r="N39" i="42"/>
  <c r="O39" i="42"/>
  <c r="I40" i="42"/>
  <c r="L40" i="42"/>
  <c r="N40" i="42"/>
  <c r="O40" i="42"/>
  <c r="I41" i="42"/>
  <c r="L41" i="42"/>
  <c r="N41" i="42"/>
  <c r="O41" i="42"/>
  <c r="I42" i="42"/>
  <c r="L42" i="42"/>
  <c r="N42" i="42"/>
  <c r="O42" i="42"/>
  <c r="F43" i="42"/>
  <c r="I43" i="42"/>
  <c r="L43" i="42"/>
  <c r="N43" i="42"/>
  <c r="O43" i="42"/>
  <c r="I44" i="42"/>
  <c r="L44" i="42"/>
  <c r="N44" i="42"/>
  <c r="O44" i="42"/>
  <c r="I45" i="42"/>
  <c r="L45" i="42"/>
  <c r="N45" i="42"/>
  <c r="O45" i="42"/>
  <c r="F46" i="42"/>
  <c r="I46" i="42"/>
  <c r="L46" i="42"/>
  <c r="N46" i="42"/>
  <c r="O46" i="42"/>
  <c r="I47" i="42"/>
  <c r="L47" i="42"/>
  <c r="N47" i="42"/>
  <c r="O47" i="42"/>
  <c r="I48" i="42"/>
  <c r="L48" i="42"/>
  <c r="N48" i="42"/>
  <c r="O48" i="42"/>
  <c r="I49" i="42"/>
  <c r="L49" i="42"/>
  <c r="N49" i="42"/>
  <c r="O49" i="42"/>
  <c r="L50" i="42"/>
  <c r="N50" i="42"/>
  <c r="O50" i="42"/>
  <c r="I51" i="42"/>
  <c r="L51" i="42"/>
  <c r="N51" i="42"/>
  <c r="O51" i="42"/>
  <c r="I52" i="42"/>
  <c r="L52" i="42"/>
  <c r="N52" i="42"/>
  <c r="O52" i="42"/>
  <c r="I53" i="42"/>
  <c r="L53" i="42"/>
  <c r="N53" i="42"/>
  <c r="O53" i="42"/>
  <c r="I54" i="42"/>
  <c r="L54" i="42"/>
  <c r="N54" i="42"/>
  <c r="O54" i="42"/>
  <c r="E55" i="42"/>
  <c r="G55" i="42"/>
  <c r="H55" i="42"/>
  <c r="J55" i="42"/>
  <c r="K55" i="42"/>
  <c r="M55" i="42"/>
  <c r="N55" i="42" s="1"/>
  <c r="O56" i="42"/>
  <c r="O57" i="42"/>
  <c r="I58" i="42"/>
  <c r="I87" i="42" s="1"/>
  <c r="L58" i="42"/>
  <c r="M58" i="42"/>
  <c r="I60" i="42"/>
  <c r="L60" i="42"/>
  <c r="N60" i="42"/>
  <c r="O60" i="42"/>
  <c r="I61" i="42"/>
  <c r="L61" i="42"/>
  <c r="N61" i="42"/>
  <c r="O61" i="42"/>
  <c r="I62" i="42"/>
  <c r="L62" i="42"/>
  <c r="N62" i="42"/>
  <c r="O62" i="42"/>
  <c r="I63" i="42"/>
  <c r="L63" i="42"/>
  <c r="N63" i="42"/>
  <c r="O63" i="42"/>
  <c r="I64" i="42"/>
  <c r="L64" i="42"/>
  <c r="N64" i="42"/>
  <c r="O64" i="42"/>
  <c r="I65" i="42"/>
  <c r="L65" i="42"/>
  <c r="N65" i="42"/>
  <c r="O65" i="42"/>
  <c r="L66" i="42"/>
  <c r="N66" i="42"/>
  <c r="O66" i="42"/>
  <c r="I67" i="42"/>
  <c r="L67" i="42"/>
  <c r="N67" i="42"/>
  <c r="O67" i="42"/>
  <c r="I68" i="42"/>
  <c r="L68" i="42"/>
  <c r="N68" i="42"/>
  <c r="O68" i="42"/>
  <c r="F69" i="42"/>
  <c r="F87" i="42"/>
  <c r="I69" i="42"/>
  <c r="L69" i="42"/>
  <c r="N69" i="42"/>
  <c r="O69" i="42"/>
  <c r="I70" i="42"/>
  <c r="L70" i="42"/>
  <c r="N70" i="42"/>
  <c r="O70" i="42"/>
  <c r="I71" i="42"/>
  <c r="L71" i="42"/>
  <c r="N71" i="42"/>
  <c r="O71" i="42"/>
  <c r="I72" i="42"/>
  <c r="L72" i="42"/>
  <c r="N72" i="42"/>
  <c r="O72" i="42"/>
  <c r="I73" i="42"/>
  <c r="L73" i="42"/>
  <c r="N73" i="42"/>
  <c r="O73" i="42"/>
  <c r="I74" i="42"/>
  <c r="L74" i="42"/>
  <c r="N74" i="42"/>
  <c r="O74" i="42"/>
  <c r="I75" i="42"/>
  <c r="L75" i="42"/>
  <c r="N75" i="42"/>
  <c r="O75" i="42"/>
  <c r="I76" i="42"/>
  <c r="L76" i="42"/>
  <c r="N76" i="42"/>
  <c r="O76" i="42"/>
  <c r="I77" i="42"/>
  <c r="L77" i="42"/>
  <c r="N77" i="42"/>
  <c r="O77" i="42"/>
  <c r="I78" i="42"/>
  <c r="L78" i="42"/>
  <c r="N78" i="42"/>
  <c r="O78" i="42"/>
  <c r="L79" i="42"/>
  <c r="N79" i="42"/>
  <c r="O79" i="42"/>
  <c r="I80" i="42"/>
  <c r="L80" i="42"/>
  <c r="N80" i="42"/>
  <c r="O80" i="42"/>
  <c r="I81" i="42"/>
  <c r="L81" i="42"/>
  <c r="N81" i="42"/>
  <c r="O81" i="42"/>
  <c r="L82" i="42"/>
  <c r="N82" i="42"/>
  <c r="O82" i="42"/>
  <c r="I83" i="42"/>
  <c r="L83" i="42"/>
  <c r="N83" i="42"/>
  <c r="O83" i="42"/>
  <c r="I84" i="42"/>
  <c r="O84" i="42"/>
  <c r="I85" i="42"/>
  <c r="L85" i="42"/>
  <c r="N85" i="42"/>
  <c r="O85" i="42"/>
  <c r="I86" i="42"/>
  <c r="L86" i="42"/>
  <c r="N86" i="42"/>
  <c r="O86" i="42"/>
  <c r="E87" i="42"/>
  <c r="G87" i="42"/>
  <c r="H87" i="42"/>
  <c r="J87" i="42"/>
  <c r="K87" i="42"/>
  <c r="O88" i="42"/>
  <c r="O89" i="42"/>
  <c r="L90" i="42"/>
  <c r="N90" i="42"/>
  <c r="O90" i="42"/>
  <c r="L91" i="42"/>
  <c r="N91" i="42"/>
  <c r="O91" i="42"/>
  <c r="L92" i="42"/>
  <c r="N92" i="42"/>
  <c r="O92" i="42"/>
  <c r="I93" i="42"/>
  <c r="I94" i="42" s="1"/>
  <c r="J93" i="42"/>
  <c r="K93" i="42"/>
  <c r="O93" i="42" s="1"/>
  <c r="E94" i="42"/>
  <c r="F94" i="42"/>
  <c r="G94" i="42"/>
  <c r="H94" i="42"/>
  <c r="M94" i="42"/>
  <c r="O95" i="42"/>
  <c r="O96" i="42"/>
  <c r="I97" i="42"/>
  <c r="I104" i="42"/>
  <c r="I106" i="42" s="1"/>
  <c r="L97" i="42"/>
  <c r="N97" i="42"/>
  <c r="O97" i="42"/>
  <c r="L98" i="42"/>
  <c r="N98" i="42"/>
  <c r="O98" i="42"/>
  <c r="I99" i="42"/>
  <c r="L99" i="42"/>
  <c r="N99" i="42"/>
  <c r="O99" i="42"/>
  <c r="L100" i="42"/>
  <c r="N100" i="42"/>
  <c r="O100" i="42"/>
  <c r="I101" i="42"/>
  <c r="L101" i="42"/>
  <c r="N101" i="42"/>
  <c r="O101" i="42"/>
  <c r="I102" i="42"/>
  <c r="L102" i="42"/>
  <c r="N102" i="42"/>
  <c r="O102" i="42"/>
  <c r="I103" i="42"/>
  <c r="L103" i="42"/>
  <c r="N103" i="42"/>
  <c r="O103" i="42"/>
  <c r="E104" i="42"/>
  <c r="F104" i="42"/>
  <c r="G104" i="42"/>
  <c r="H104" i="42"/>
  <c r="J104" i="42"/>
  <c r="K104" i="42"/>
  <c r="G124" i="28"/>
  <c r="M104" i="42"/>
  <c r="O105" i="42"/>
  <c r="O107" i="42"/>
  <c r="O109" i="42"/>
  <c r="O110" i="42"/>
  <c r="I111" i="42"/>
  <c r="I119" i="42" s="1"/>
  <c r="L111" i="42"/>
  <c r="N111" i="42"/>
  <c r="O111" i="42"/>
  <c r="I112" i="42"/>
  <c r="L112" i="42"/>
  <c r="N112" i="42"/>
  <c r="O112" i="42"/>
  <c r="I113" i="42"/>
  <c r="L113" i="42"/>
  <c r="N113" i="42"/>
  <c r="O113" i="42"/>
  <c r="I114" i="42"/>
  <c r="L114" i="42"/>
  <c r="N114" i="42"/>
  <c r="O114" i="42"/>
  <c r="I115" i="42"/>
  <c r="L115" i="42"/>
  <c r="N115" i="42"/>
  <c r="O115" i="42"/>
  <c r="I116" i="42"/>
  <c r="L116" i="42"/>
  <c r="N116" i="42"/>
  <c r="O116" i="42"/>
  <c r="I117" i="42"/>
  <c r="L117" i="42"/>
  <c r="N117" i="42"/>
  <c r="O117" i="42"/>
  <c r="I118" i="42"/>
  <c r="L118" i="42"/>
  <c r="N118" i="42"/>
  <c r="O118" i="42"/>
  <c r="E119" i="42"/>
  <c r="F119" i="42"/>
  <c r="G119" i="42"/>
  <c r="H119" i="42"/>
  <c r="J119" i="42"/>
  <c r="K119" i="42"/>
  <c r="M119" i="42"/>
  <c r="O120" i="42"/>
  <c r="O122" i="42"/>
  <c r="O123" i="42"/>
  <c r="I124" i="42"/>
  <c r="I128" i="42" s="1"/>
  <c r="L124" i="42"/>
  <c r="M124" i="42"/>
  <c r="O124" i="42"/>
  <c r="I125" i="42"/>
  <c r="L125" i="42"/>
  <c r="M125" i="42"/>
  <c r="I126" i="42"/>
  <c r="M126" i="42"/>
  <c r="O126" i="42" s="1"/>
  <c r="I127" i="42"/>
  <c r="L127" i="42"/>
  <c r="M127" i="42"/>
  <c r="E128" i="42"/>
  <c r="F128" i="42"/>
  <c r="G128" i="42"/>
  <c r="J128" i="42"/>
  <c r="K128" i="42"/>
  <c r="I130" i="42"/>
  <c r="L130" i="42"/>
  <c r="M130" i="42"/>
  <c r="N130" i="42"/>
  <c r="I135" i="42"/>
  <c r="I140" i="42"/>
  <c r="L135" i="42"/>
  <c r="N135" i="42"/>
  <c r="I136" i="42"/>
  <c r="L136" i="42"/>
  <c r="N136" i="42"/>
  <c r="I137" i="42"/>
  <c r="L137" i="42"/>
  <c r="N137" i="42"/>
  <c r="L138" i="42"/>
  <c r="N138" i="42"/>
  <c r="I139" i="42"/>
  <c r="L139" i="42"/>
  <c r="N139" i="42"/>
  <c r="E140" i="42"/>
  <c r="F140" i="42"/>
  <c r="G140" i="42"/>
  <c r="H140" i="42"/>
  <c r="J140" i="42"/>
  <c r="K140" i="42"/>
  <c r="M140" i="42"/>
  <c r="H248" i="25"/>
  <c r="H247" i="25"/>
  <c r="H246" i="25"/>
  <c r="H249" i="25" s="1"/>
  <c r="O108" i="2"/>
  <c r="O98" i="2"/>
  <c r="O99" i="2"/>
  <c r="O102" i="2"/>
  <c r="O101" i="2"/>
  <c r="O87" i="2"/>
  <c r="O86" i="2"/>
  <c r="O74" i="2"/>
  <c r="O76" i="2"/>
  <c r="O66" i="2"/>
  <c r="O72" i="2"/>
  <c r="O68" i="2"/>
  <c r="O85" i="2"/>
  <c r="O83" i="2"/>
  <c r="O69" i="2"/>
  <c r="O77" i="2"/>
  <c r="O75" i="2"/>
  <c r="O51" i="2"/>
  <c r="O53" i="2"/>
  <c r="O47" i="2"/>
  <c r="O55" i="2"/>
  <c r="O52" i="2"/>
  <c r="O46" i="2"/>
  <c r="O40" i="2"/>
  <c r="O19" i="2"/>
  <c r="O33" i="2"/>
  <c r="O26" i="2"/>
  <c r="O11" i="2"/>
  <c r="O10" i="2"/>
  <c r="M46" i="2"/>
  <c r="E3" i="32"/>
  <c r="CI3" i="31"/>
  <c r="CE3" i="31"/>
  <c r="AV3" i="31"/>
  <c r="Z3" i="31"/>
  <c r="K3" i="31"/>
  <c r="CR3" i="31"/>
  <c r="BL3" i="31"/>
  <c r="BD3" i="31"/>
  <c r="M3" i="31"/>
  <c r="H400" i="25"/>
  <c r="H401" i="25" s="1"/>
  <c r="G98" i="2" s="1"/>
  <c r="K148" i="28"/>
  <c r="O148" i="28"/>
  <c r="K147" i="28"/>
  <c r="K149" i="28" s="1"/>
  <c r="L149" i="28" s="1"/>
  <c r="H328" i="25"/>
  <c r="H327" i="25"/>
  <c r="H318" i="25"/>
  <c r="H317" i="25"/>
  <c r="H313" i="25"/>
  <c r="H312" i="25"/>
  <c r="H303" i="25"/>
  <c r="H302" i="25"/>
  <c r="H298" i="25"/>
  <c r="H297" i="25"/>
  <c r="H293" i="25"/>
  <c r="H292" i="25"/>
  <c r="H288" i="25"/>
  <c r="H287" i="25"/>
  <c r="H283" i="25"/>
  <c r="H284" i="25" s="1"/>
  <c r="H282" i="25"/>
  <c r="H278" i="25"/>
  <c r="H277" i="25"/>
  <c r="H273" i="25"/>
  <c r="H272" i="25"/>
  <c r="H274" i="25" s="1"/>
  <c r="H268" i="25"/>
  <c r="H269" i="25" s="1"/>
  <c r="H267" i="25"/>
  <c r="H263" i="25"/>
  <c r="H262" i="25"/>
  <c r="H258" i="25"/>
  <c r="H257" i="25"/>
  <c r="H253" i="25"/>
  <c r="H252" i="25"/>
  <c r="H242" i="25"/>
  <c r="H241" i="25"/>
  <c r="H237" i="25"/>
  <c r="H236" i="25"/>
  <c r="H197" i="25"/>
  <c r="H196" i="25"/>
  <c r="H192" i="25"/>
  <c r="H191" i="25"/>
  <c r="H187" i="25"/>
  <c r="H188" i="25" s="1"/>
  <c r="H186" i="25"/>
  <c r="H177" i="25"/>
  <c r="H176" i="25"/>
  <c r="H172" i="25"/>
  <c r="H171" i="25"/>
  <c r="H131" i="25"/>
  <c r="H130" i="25"/>
  <c r="H126" i="25"/>
  <c r="H125" i="25"/>
  <c r="H121" i="25"/>
  <c r="H120" i="25"/>
  <c r="H106" i="25"/>
  <c r="H105" i="25"/>
  <c r="H101" i="25"/>
  <c r="H100" i="25"/>
  <c r="H96" i="25"/>
  <c r="H97" i="25" s="1"/>
  <c r="K35" i="28" s="1"/>
  <c r="H95" i="25"/>
  <c r="H86" i="25"/>
  <c r="H85" i="25"/>
  <c r="H81" i="25"/>
  <c r="H80" i="25"/>
  <c r="H76" i="25"/>
  <c r="H75" i="25"/>
  <c r="H71" i="25"/>
  <c r="H70" i="25"/>
  <c r="H66" i="25"/>
  <c r="H65" i="25"/>
  <c r="H61" i="25"/>
  <c r="H60" i="25"/>
  <c r="H56" i="25"/>
  <c r="H55" i="25"/>
  <c r="H57" i="25" s="1"/>
  <c r="G22" i="2" s="1"/>
  <c r="S3" i="31" s="1"/>
  <c r="H51" i="25"/>
  <c r="H50" i="25"/>
  <c r="K36" i="28"/>
  <c r="L36" i="28" s="1"/>
  <c r="H25" i="25"/>
  <c r="H24" i="25"/>
  <c r="H20" i="25"/>
  <c r="H19" i="25"/>
  <c r="H15" i="25"/>
  <c r="H14" i="25"/>
  <c r="H10" i="25"/>
  <c r="H9" i="25"/>
  <c r="H5" i="25"/>
  <c r="H4" i="25"/>
  <c r="BI3" i="31"/>
  <c r="AM3" i="31"/>
  <c r="AI3" i="31"/>
  <c r="AG3" i="31"/>
  <c r="F135" i="32"/>
  <c r="O94" i="2"/>
  <c r="P128" i="2"/>
  <c r="P108" i="2"/>
  <c r="P98" i="2"/>
  <c r="P99" i="2"/>
  <c r="P103" i="2"/>
  <c r="P102" i="2"/>
  <c r="P107" i="2"/>
  <c r="P101" i="2"/>
  <c r="P105" i="2"/>
  <c r="P94" i="2"/>
  <c r="P91" i="2"/>
  <c r="P92" i="2"/>
  <c r="P87" i="2"/>
  <c r="P86" i="2"/>
  <c r="P74" i="2"/>
  <c r="P76" i="2"/>
  <c r="P66" i="2"/>
  <c r="P78" i="2"/>
  <c r="P72" i="2"/>
  <c r="P68" i="2"/>
  <c r="P85" i="2"/>
  <c r="P75" i="2"/>
  <c r="P58" i="2"/>
  <c r="P51" i="2"/>
  <c r="P53" i="2"/>
  <c r="P47" i="2"/>
  <c r="P55" i="2"/>
  <c r="P52" i="2"/>
  <c r="P46" i="2"/>
  <c r="P40" i="2"/>
  <c r="P19" i="2"/>
  <c r="P33" i="2"/>
  <c r="P31" i="2"/>
  <c r="P18" i="2"/>
  <c r="P26" i="2"/>
  <c r="P10" i="2"/>
  <c r="P11" i="2"/>
  <c r="L46" i="2"/>
  <c r="L128" i="2"/>
  <c r="K46" i="2"/>
  <c r="K128" i="2"/>
  <c r="J46" i="2"/>
  <c r="J128" i="2"/>
  <c r="I46" i="2"/>
  <c r="P83" i="2"/>
  <c r="P77" i="2"/>
  <c r="P69" i="2"/>
  <c r="BB3" i="31"/>
  <c r="BV3" i="31"/>
  <c r="AZ3" i="31"/>
  <c r="CA3" i="31"/>
  <c r="P3" i="31"/>
  <c r="CQ3" i="31"/>
  <c r="O31" i="2"/>
  <c r="CC3" i="31"/>
  <c r="AQ3" i="31"/>
  <c r="Q64" i="28"/>
  <c r="R116" i="28"/>
  <c r="T116" i="28" s="1"/>
  <c r="N121" i="28"/>
  <c r="M106" i="28"/>
  <c r="O106" i="28"/>
  <c r="O116" i="28"/>
  <c r="O91" i="2"/>
  <c r="O95" i="2" s="1"/>
  <c r="O63" i="2"/>
  <c r="O56" i="2"/>
  <c r="L106" i="28"/>
  <c r="P75" i="28"/>
  <c r="T75" i="28"/>
  <c r="N75" i="28"/>
  <c r="L75" i="28"/>
  <c r="O75" i="28"/>
  <c r="M75" i="28"/>
  <c r="S64" i="28"/>
  <c r="M83" i="28"/>
  <c r="L83" i="28"/>
  <c r="O83" i="28"/>
  <c r="N83" i="28"/>
  <c r="T83" i="28"/>
  <c r="P83" i="28"/>
  <c r="K16" i="28"/>
  <c r="O16" i="28" s="1"/>
  <c r="P70" i="2"/>
  <c r="P93" i="2"/>
  <c r="O43" i="2"/>
  <c r="O14" i="2"/>
  <c r="O24" i="2"/>
  <c r="O107" i="2"/>
  <c r="O58" i="2"/>
  <c r="O78" i="2"/>
  <c r="O18" i="2"/>
  <c r="O35" i="2"/>
  <c r="O81" i="2"/>
  <c r="O104" i="2"/>
  <c r="O34" i="2"/>
  <c r="O57" i="2"/>
  <c r="O39" i="2"/>
  <c r="O12" i="2"/>
  <c r="O103" i="2"/>
  <c r="O79" i="2"/>
  <c r="O70" i="2"/>
  <c r="O71" i="2"/>
  <c r="O23" i="2"/>
  <c r="O25" i="2"/>
  <c r="O37" i="2"/>
  <c r="O73" i="2"/>
  <c r="O38" i="2"/>
  <c r="O30" i="2"/>
  <c r="O54" i="2"/>
  <c r="O80" i="2"/>
  <c r="O100" i="2"/>
  <c r="O20" i="2"/>
  <c r="O27" i="2"/>
  <c r="O92" i="2"/>
  <c r="O49" i="2"/>
  <c r="O64" i="2"/>
  <c r="O93" i="2"/>
  <c r="O9" i="2"/>
  <c r="O50" i="2"/>
  <c r="O41" i="2"/>
  <c r="O21" i="2"/>
  <c r="O62" i="2"/>
  <c r="O22" i="2"/>
  <c r="O82" i="2"/>
  <c r="O29" i="2"/>
  <c r="O128" i="2"/>
  <c r="O84" i="2"/>
  <c r="I20" i="26"/>
  <c r="CL3" i="31"/>
  <c r="CH3" i="31"/>
  <c r="P22" i="2"/>
  <c r="K14" i="28"/>
  <c r="Q14" i="28" s="1"/>
  <c r="K15" i="28"/>
  <c r="P27" i="2"/>
  <c r="J118" i="2"/>
  <c r="AR3" i="31"/>
  <c r="BC3" i="31"/>
  <c r="BX3" i="31"/>
  <c r="O67" i="2"/>
  <c r="O65" i="2"/>
  <c r="O32" i="2"/>
  <c r="O105" i="2"/>
  <c r="P65" i="2"/>
  <c r="Q108" i="43"/>
  <c r="CN3" i="31"/>
  <c r="CP3" i="31"/>
  <c r="CM3" i="31"/>
  <c r="O48" i="2"/>
  <c r="P20" i="2"/>
  <c r="P106" i="2"/>
  <c r="P14" i="2"/>
  <c r="P23" i="2"/>
  <c r="P54" i="2"/>
  <c r="P80" i="2"/>
  <c r="P50" i="2"/>
  <c r="P48" i="2"/>
  <c r="P63" i="2"/>
  <c r="P62" i="2"/>
  <c r="P73" i="2"/>
  <c r="P64" i="2"/>
  <c r="P43" i="2"/>
  <c r="P67" i="2"/>
  <c r="K118" i="2"/>
  <c r="F19" i="32"/>
  <c r="P35" i="2"/>
  <c r="P82" i="2"/>
  <c r="P39" i="2"/>
  <c r="P32" i="2"/>
  <c r="P38" i="2"/>
  <c r="P56" i="2"/>
  <c r="P34" i="2"/>
  <c r="P9" i="2"/>
  <c r="L118" i="2"/>
  <c r="H118" i="2"/>
  <c r="F21" i="32"/>
  <c r="P24" i="2"/>
  <c r="P30" i="2"/>
  <c r="P12" i="2"/>
  <c r="P41" i="2"/>
  <c r="P84" i="2"/>
  <c r="P21" i="2"/>
  <c r="P37" i="2"/>
  <c r="P25" i="2"/>
  <c r="I13" i="26"/>
  <c r="F37" i="32"/>
  <c r="P79" i="2"/>
  <c r="P57" i="2"/>
  <c r="P42" i="2"/>
  <c r="P71" i="2"/>
  <c r="P100" i="2"/>
  <c r="P81" i="2"/>
  <c r="F105" i="32"/>
  <c r="F106" i="32" s="1"/>
  <c r="P49" i="2"/>
  <c r="P29" i="2"/>
  <c r="P104" i="2"/>
  <c r="K85" i="28"/>
  <c r="L85" i="28" s="1"/>
  <c r="O85" i="28"/>
  <c r="K88" i="28"/>
  <c r="P88" i="28" s="1"/>
  <c r="N88" i="28"/>
  <c r="K56" i="28"/>
  <c r="K34" i="28"/>
  <c r="K49" i="28"/>
  <c r="O49" i="28"/>
  <c r="G83" i="2"/>
  <c r="K83" i="2" s="1"/>
  <c r="N36" i="28"/>
  <c r="H132" i="2"/>
  <c r="P95" i="43"/>
  <c r="L96" i="43"/>
  <c r="M23" i="43"/>
  <c r="M112" i="43" s="1"/>
  <c r="M125" i="43" s="1"/>
  <c r="M136" i="43" s="1"/>
  <c r="M146" i="43" s="1"/>
  <c r="J23" i="43"/>
  <c r="J112" i="43" s="1"/>
  <c r="J125" i="43" s="1"/>
  <c r="J136" i="43" s="1"/>
  <c r="J146" i="43" s="1"/>
  <c r="J148" i="43" s="1"/>
  <c r="J150" i="43" s="1"/>
  <c r="P44" i="2"/>
  <c r="H264" i="25"/>
  <c r="K78" i="28"/>
  <c r="K94" i="42"/>
  <c r="O94" i="42" s="1"/>
  <c r="J132" i="2"/>
  <c r="K132" i="2"/>
  <c r="I132" i="2"/>
  <c r="L132" i="2"/>
  <c r="K98" i="2"/>
  <c r="Q15" i="28"/>
  <c r="K24" i="28"/>
  <c r="L24" i="28"/>
  <c r="H421" i="25"/>
  <c r="G102" i="2" s="1"/>
  <c r="CG3" i="31" s="1"/>
  <c r="N147" i="28"/>
  <c r="N149" i="28"/>
  <c r="L14" i="28"/>
  <c r="N89" i="43"/>
  <c r="H329" i="25"/>
  <c r="G79" i="2" s="1"/>
  <c r="BT3" i="31" s="1"/>
  <c r="H72" i="25"/>
  <c r="G25" i="2" s="1"/>
  <c r="U3" i="31" s="1"/>
  <c r="L37" i="28"/>
  <c r="H162" i="25"/>
  <c r="G43" i="2" s="1"/>
  <c r="L43" i="2" s="1"/>
  <c r="H254" i="25"/>
  <c r="K76" i="28"/>
  <c r="M76" i="28"/>
  <c r="H319" i="25"/>
  <c r="H451" i="25"/>
  <c r="N119" i="42"/>
  <c r="Q16" i="28"/>
  <c r="Q148" i="28"/>
  <c r="H67" i="25"/>
  <c r="G24" i="2" s="1"/>
  <c r="M24" i="2" s="1"/>
  <c r="R138" i="28"/>
  <c r="R144" i="28" s="1"/>
  <c r="H213" i="25"/>
  <c r="G55" i="2" s="1"/>
  <c r="P129" i="43"/>
  <c r="N95" i="43"/>
  <c r="M96" i="43"/>
  <c r="Q96" i="43"/>
  <c r="E110" i="43"/>
  <c r="E112" i="43" s="1"/>
  <c r="E125" i="43" s="1"/>
  <c r="E136" i="43" s="1"/>
  <c r="E146" i="43" s="1"/>
  <c r="E148" i="43" s="1"/>
  <c r="E150" i="43" s="1"/>
  <c r="K84" i="2"/>
  <c r="H383" i="25"/>
  <c r="G92" i="2"/>
  <c r="BZ3" i="31" s="1"/>
  <c r="Q129" i="43"/>
  <c r="N140" i="42"/>
  <c r="E106" i="42"/>
  <c r="N22" i="42"/>
  <c r="I136" i="28"/>
  <c r="S95" i="43"/>
  <c r="T95" i="43" s="1"/>
  <c r="P108" i="43"/>
  <c r="H359" i="25"/>
  <c r="G85" i="2" s="1"/>
  <c r="H378" i="25"/>
  <c r="G91" i="2"/>
  <c r="H91" i="2" s="1"/>
  <c r="P37" i="28"/>
  <c r="O14" i="28"/>
  <c r="M16" i="28"/>
  <c r="N136" i="28"/>
  <c r="H21" i="25"/>
  <c r="G13" i="2" s="1"/>
  <c r="K13" i="28"/>
  <c r="Q13" i="28" s="1"/>
  <c r="L22" i="42"/>
  <c r="J83" i="2"/>
  <c r="O119" i="2"/>
  <c r="O121" i="2" s="1"/>
  <c r="G66" i="2"/>
  <c r="J66" i="2" s="1"/>
  <c r="H142" i="25"/>
  <c r="O78" i="28"/>
  <c r="N78" i="28"/>
  <c r="M85" i="28"/>
  <c r="L23" i="43"/>
  <c r="N9" i="43"/>
  <c r="L147" i="28"/>
  <c r="T88" i="28"/>
  <c r="O119" i="42"/>
  <c r="N125" i="42"/>
  <c r="O125" i="42"/>
  <c r="Q124" i="28"/>
  <c r="Q106" i="28"/>
  <c r="Q92" i="28"/>
  <c r="H53" i="2"/>
  <c r="N85" i="28"/>
  <c r="I83" i="2"/>
  <c r="M83" i="2"/>
  <c r="Q85" i="28"/>
  <c r="M147" i="28"/>
  <c r="M149" i="28" s="1"/>
  <c r="T147" i="28"/>
  <c r="P147" i="28"/>
  <c r="P149" i="28" s="1"/>
  <c r="O147" i="28"/>
  <c r="O149" i="28"/>
  <c r="Q147" i="28"/>
  <c r="Q149" i="28" s="1"/>
  <c r="T121" i="28"/>
  <c r="O121" i="28"/>
  <c r="O136" i="28"/>
  <c r="N108" i="43"/>
  <c r="N33" i="28"/>
  <c r="P33" i="28"/>
  <c r="Q88" i="28"/>
  <c r="P85" i="28"/>
  <c r="D5" i="28"/>
  <c r="M23" i="42"/>
  <c r="N23" i="42" s="1"/>
  <c r="H52" i="25"/>
  <c r="H198" i="25"/>
  <c r="H259" i="25"/>
  <c r="H279" i="25"/>
  <c r="G69" i="2"/>
  <c r="H11" i="25"/>
  <c r="K11" i="28" s="1"/>
  <c r="H23" i="42"/>
  <c r="G101" i="28"/>
  <c r="C138" i="28"/>
  <c r="H37" i="25"/>
  <c r="G18" i="2"/>
  <c r="H18" i="2"/>
  <c r="H344" i="25"/>
  <c r="G82" i="2"/>
  <c r="L82" i="2" s="1"/>
  <c r="H364" i="25"/>
  <c r="G86" i="2" s="1"/>
  <c r="H334" i="25"/>
  <c r="G80" i="2"/>
  <c r="BU3" i="31" s="1"/>
  <c r="H411" i="25"/>
  <c r="G100" i="2" s="1"/>
  <c r="H6" i="25"/>
  <c r="K10" i="28" s="1"/>
  <c r="H77" i="25"/>
  <c r="G26" i="2"/>
  <c r="H178" i="25"/>
  <c r="G48" i="2" s="1"/>
  <c r="H238" i="25"/>
  <c r="G62" i="2"/>
  <c r="H304" i="25"/>
  <c r="G74" i="2"/>
  <c r="L74" i="2" s="1"/>
  <c r="L119" i="42"/>
  <c r="H23" i="43"/>
  <c r="H416" i="25"/>
  <c r="H426" i="25"/>
  <c r="G103" i="2" s="1"/>
  <c r="H446" i="25"/>
  <c r="G107" i="2" s="1"/>
  <c r="H147" i="25"/>
  <c r="L53" i="2"/>
  <c r="K123" i="43"/>
  <c r="O15" i="2"/>
  <c r="S59" i="43"/>
  <c r="T59" i="43" s="1"/>
  <c r="S26" i="43"/>
  <c r="T26" i="43"/>
  <c r="Q49" i="28"/>
  <c r="N56" i="28"/>
  <c r="M56" i="28"/>
  <c r="T56" i="28"/>
  <c r="O56" i="28"/>
  <c r="M34" i="28"/>
  <c r="T34" i="28"/>
  <c r="N34" i="28"/>
  <c r="O34" i="28"/>
  <c r="P78" i="28"/>
  <c r="Q78" i="28"/>
  <c r="T49" i="28"/>
  <c r="M49" i="28"/>
  <c r="L49" i="28"/>
  <c r="P49" i="28"/>
  <c r="N49" i="28"/>
  <c r="M37" i="28"/>
  <c r="N37" i="28"/>
  <c r="O37" i="28"/>
  <c r="O127" i="42"/>
  <c r="N127" i="42"/>
  <c r="I98" i="2"/>
  <c r="F110" i="32"/>
  <c r="O36" i="28"/>
  <c r="P36" i="28"/>
  <c r="Q36" i="28"/>
  <c r="S99" i="43"/>
  <c r="T99" i="43"/>
  <c r="H243" i="25"/>
  <c r="N124" i="42"/>
  <c r="I23" i="43"/>
  <c r="I112" i="43" s="1"/>
  <c r="I125" i="43"/>
  <c r="I136" i="43"/>
  <c r="I146" i="43"/>
  <c r="I148" i="43" s="1"/>
  <c r="I150" i="43" s="1"/>
  <c r="P14" i="28"/>
  <c r="N14" i="28"/>
  <c r="M14" i="28"/>
  <c r="D4" i="28"/>
  <c r="P89" i="43"/>
  <c r="O112" i="43"/>
  <c r="O125" i="43"/>
  <c r="P59" i="2"/>
  <c r="H112" i="25"/>
  <c r="M121" i="28"/>
  <c r="K136" i="28"/>
  <c r="L121" i="28"/>
  <c r="E138" i="28"/>
  <c r="E144" i="28" s="1"/>
  <c r="F56" i="43"/>
  <c r="H406" i="25"/>
  <c r="G99" i="2" s="1"/>
  <c r="CD3" i="31" s="1"/>
  <c r="H228" i="25"/>
  <c r="G58" i="2" s="1"/>
  <c r="I58" i="2" s="1"/>
  <c r="H339" i="25"/>
  <c r="G81" i="2" s="1"/>
  <c r="BW3" i="31" s="1"/>
  <c r="H393" i="25"/>
  <c r="G94" i="2"/>
  <c r="L94" i="2" s="1"/>
  <c r="H436" i="25"/>
  <c r="G105" i="2"/>
  <c r="CJ3" i="31" s="1"/>
  <c r="M105" i="2"/>
  <c r="H102" i="25"/>
  <c r="H132" i="25"/>
  <c r="G64" i="2"/>
  <c r="H64" i="2" s="1"/>
  <c r="L140" i="42"/>
  <c r="Q123" i="43"/>
  <c r="E111" i="2"/>
  <c r="O130" i="2"/>
  <c r="O132" i="2" s="1"/>
  <c r="H16" i="25"/>
  <c r="H107" i="25"/>
  <c r="K40" i="28" s="1"/>
  <c r="H193" i="25"/>
  <c r="L87" i="42"/>
  <c r="H138" i="28"/>
  <c r="H140" i="28" s="1"/>
  <c r="H151" i="28" s="1"/>
  <c r="P56" i="43"/>
  <c r="J110" i="43"/>
  <c r="N144" i="43"/>
  <c r="H157" i="25"/>
  <c r="G42" i="2" s="1"/>
  <c r="H441" i="25"/>
  <c r="G106" i="2"/>
  <c r="CK3" i="31" s="1"/>
  <c r="G78" i="2"/>
  <c r="BS3" i="31" s="1"/>
  <c r="H42" i="25"/>
  <c r="G19" i="2" s="1"/>
  <c r="H218" i="25"/>
  <c r="G56" i="2"/>
  <c r="P24" i="28"/>
  <c r="M29" i="2"/>
  <c r="H28" i="2"/>
  <c r="I28" i="2"/>
  <c r="T24" i="28"/>
  <c r="N24" i="28"/>
  <c r="M24" i="28"/>
  <c r="O24" i="28"/>
  <c r="J29" i="2"/>
  <c r="H29" i="2"/>
  <c r="K29" i="2"/>
  <c r="K23" i="28"/>
  <c r="L29" i="2"/>
  <c r="K96" i="43"/>
  <c r="K110" i="43" s="1"/>
  <c r="F55" i="42"/>
  <c r="F106" i="42"/>
  <c r="K4" i="28"/>
  <c r="L78" i="28"/>
  <c r="M78" i="28"/>
  <c r="T78" i="28"/>
  <c r="O33" i="28"/>
  <c r="M33" i="28"/>
  <c r="Q121" i="28"/>
  <c r="K27" i="28"/>
  <c r="L110" i="43"/>
  <c r="P110" i="43" s="1"/>
  <c r="P96" i="43"/>
  <c r="H87" i="2"/>
  <c r="K87" i="2"/>
  <c r="I87" i="2"/>
  <c r="M87" i="2"/>
  <c r="L87" i="2"/>
  <c r="K81" i="28"/>
  <c r="O59" i="2"/>
  <c r="O109" i="2"/>
  <c r="N58" i="42"/>
  <c r="O58" i="42"/>
  <c r="M87" i="42"/>
  <c r="M106" i="42" s="1"/>
  <c r="N106" i="42" s="1"/>
  <c r="J23" i="42"/>
  <c r="N9" i="42"/>
  <c r="P15" i="28"/>
  <c r="O15" i="28"/>
  <c r="J94" i="42"/>
  <c r="J106" i="42" s="1"/>
  <c r="N93" i="42"/>
  <c r="L93" i="42"/>
  <c r="G106" i="42"/>
  <c r="H106" i="42"/>
  <c r="L16" i="28"/>
  <c r="L104" i="42"/>
  <c r="P16" i="28"/>
  <c r="N16" i="28"/>
  <c r="H62" i="25"/>
  <c r="K29" i="28" s="1"/>
  <c r="N29" i="28" s="1"/>
  <c r="H314" i="25"/>
  <c r="L9" i="42"/>
  <c r="G108" i="2"/>
  <c r="K108" i="2" s="1"/>
  <c r="L76" i="28"/>
  <c r="L98" i="2"/>
  <c r="G34" i="2"/>
  <c r="G30" i="2"/>
  <c r="F28" i="32" s="1"/>
  <c r="G39" i="2"/>
  <c r="H39" i="2" s="1"/>
  <c r="K45" i="28"/>
  <c r="P45" i="28" s="1"/>
  <c r="K46" i="28"/>
  <c r="O46" i="28"/>
  <c r="G37" i="2"/>
  <c r="AH3" i="31" s="1"/>
  <c r="J37" i="2"/>
  <c r="G33" i="2"/>
  <c r="G40" i="2"/>
  <c r="AK3" i="31" s="1"/>
  <c r="K73" i="28"/>
  <c r="N73" i="28" s="1"/>
  <c r="K30" i="28"/>
  <c r="P30" i="28" s="1"/>
  <c r="M110" i="43"/>
  <c r="M148" i="43"/>
  <c r="M150" i="43"/>
  <c r="K104" i="2"/>
  <c r="K42" i="28"/>
  <c r="K92" i="2"/>
  <c r="I151" i="28"/>
  <c r="I13" i="2"/>
  <c r="O76" i="28"/>
  <c r="N96" i="43"/>
  <c r="T76" i="28"/>
  <c r="F112" i="43"/>
  <c r="F125" i="43" s="1"/>
  <c r="F136" i="43" s="1"/>
  <c r="F146" i="43" s="1"/>
  <c r="F148" i="43" s="1"/>
  <c r="F150" i="43" s="1"/>
  <c r="M92" i="2"/>
  <c r="P76" i="28"/>
  <c r="N76" i="28"/>
  <c r="G73" i="2"/>
  <c r="F86" i="32" s="1"/>
  <c r="I92" i="2"/>
  <c r="K87" i="28"/>
  <c r="H84" i="2"/>
  <c r="L84" i="2"/>
  <c r="F78" i="32"/>
  <c r="D123" i="2"/>
  <c r="N123" i="2"/>
  <c r="P123" i="2"/>
  <c r="M99" i="2"/>
  <c r="K74" i="2"/>
  <c r="H104" i="2"/>
  <c r="F122" i="32"/>
  <c r="J104" i="2"/>
  <c r="K57" i="2"/>
  <c r="J74" i="2"/>
  <c r="M104" i="2"/>
  <c r="I104" i="2"/>
  <c r="L104" i="2"/>
  <c r="I74" i="2"/>
  <c r="M74" i="2"/>
  <c r="H74" i="2"/>
  <c r="K57" i="28"/>
  <c r="G50" i="2"/>
  <c r="K50" i="2" s="1"/>
  <c r="N23" i="43"/>
  <c r="H107" i="2"/>
  <c r="J107" i="2"/>
  <c r="K107" i="2"/>
  <c r="L107" i="2"/>
  <c r="G10" i="2"/>
  <c r="L10" i="2" s="1"/>
  <c r="L100" i="2"/>
  <c r="F121" i="32"/>
  <c r="H100" i="2"/>
  <c r="J100" i="2"/>
  <c r="M82" i="2"/>
  <c r="G47" i="2"/>
  <c r="F62" i="32" s="1"/>
  <c r="K54" i="28"/>
  <c r="Q54" i="28" s="1"/>
  <c r="L99" i="2"/>
  <c r="K25" i="28"/>
  <c r="K77" i="28"/>
  <c r="G65" i="2"/>
  <c r="BE3" i="31" s="1"/>
  <c r="K31" i="28"/>
  <c r="O31" i="28" s="1"/>
  <c r="J57" i="2"/>
  <c r="I57" i="2"/>
  <c r="M93" i="2"/>
  <c r="H93" i="2"/>
  <c r="L93" i="2"/>
  <c r="F49" i="32"/>
  <c r="I93" i="2"/>
  <c r="J93" i="2"/>
  <c r="K93" i="2"/>
  <c r="J105" i="2"/>
  <c r="K56" i="2"/>
  <c r="I56" i="2"/>
  <c r="L56" i="2"/>
  <c r="I42" i="2"/>
  <c r="M42" i="2"/>
  <c r="K42" i="2"/>
  <c r="H81" i="2"/>
  <c r="K81" i="2"/>
  <c r="M81" i="2"/>
  <c r="I81" i="2"/>
  <c r="J81" i="2"/>
  <c r="F79" i="32"/>
  <c r="L81" i="2"/>
  <c r="K58" i="2"/>
  <c r="T136" i="28"/>
  <c r="M86" i="28"/>
  <c r="O86" i="28"/>
  <c r="L86" i="28"/>
  <c r="N86" i="28"/>
  <c r="Q86" i="28"/>
  <c r="P86" i="28"/>
  <c r="H78" i="2"/>
  <c r="L78" i="2"/>
  <c r="F76" i="32"/>
  <c r="K12" i="28"/>
  <c r="K105" i="2"/>
  <c r="L105" i="2"/>
  <c r="H105" i="2"/>
  <c r="K74" i="28"/>
  <c r="G63" i="2"/>
  <c r="I106" i="2"/>
  <c r="M106" i="2"/>
  <c r="K106" i="2"/>
  <c r="L106" i="2"/>
  <c r="H106" i="2"/>
  <c r="F118" i="32"/>
  <c r="J106" i="2"/>
  <c r="H94" i="2"/>
  <c r="L13" i="28"/>
  <c r="N13" i="28"/>
  <c r="T23" i="28"/>
  <c r="N23" i="28"/>
  <c r="M23" i="28"/>
  <c r="Q23" i="28"/>
  <c r="L23" i="28"/>
  <c r="T81" i="28"/>
  <c r="M81" i="28"/>
  <c r="L81" i="28"/>
  <c r="O81" i="28"/>
  <c r="P81" i="28"/>
  <c r="F38" i="32"/>
  <c r="J22" i="2"/>
  <c r="K22" i="2"/>
  <c r="M22" i="2"/>
  <c r="L22" i="2"/>
  <c r="H22" i="2"/>
  <c r="I22" i="2"/>
  <c r="N87" i="42"/>
  <c r="M27" i="28"/>
  <c r="Q27" i="28"/>
  <c r="P27" i="28"/>
  <c r="T27" i="28"/>
  <c r="Q46" i="28"/>
  <c r="J108" i="42"/>
  <c r="J121" i="42" s="1"/>
  <c r="N121" i="42" s="1"/>
  <c r="N94" i="42"/>
  <c r="L94" i="42"/>
  <c r="I62" i="2"/>
  <c r="H62" i="2"/>
  <c r="L62" i="2"/>
  <c r="K62" i="2"/>
  <c r="F65" i="32"/>
  <c r="I48" i="2"/>
  <c r="S41" i="28"/>
  <c r="S105" i="28"/>
  <c r="S25" i="28"/>
  <c r="S87" i="28"/>
  <c r="S101" i="28" s="1"/>
  <c r="S26" i="28"/>
  <c r="S42" i="28"/>
  <c r="S63" i="28"/>
  <c r="S27" i="28"/>
  <c r="S30" i="28"/>
  <c r="S82" i="28"/>
  <c r="S35" i="28"/>
  <c r="S34" i="28"/>
  <c r="S84" i="28"/>
  <c r="S106" i="28"/>
  <c r="S38" i="28"/>
  <c r="S80" i="28"/>
  <c r="S40" i="28"/>
  <c r="S46" i="28"/>
  <c r="S39" i="28"/>
  <c r="S147" i="28"/>
  <c r="S149" i="28" s="1"/>
  <c r="S54" i="28"/>
  <c r="S83" i="28"/>
  <c r="S58" i="28"/>
  <c r="S69" i="28" s="1"/>
  <c r="S56" i="28"/>
  <c r="S77" i="28"/>
  <c r="S122" i="28"/>
  <c r="S104" i="28"/>
  <c r="S116" i="28" s="1"/>
  <c r="S76" i="28"/>
  <c r="S75" i="28"/>
  <c r="S85" i="28"/>
  <c r="S17" i="28"/>
  <c r="S88" i="28"/>
  <c r="S90" i="28"/>
  <c r="S13" i="28"/>
  <c r="S33" i="28"/>
  <c r="S49" i="28"/>
  <c r="S92" i="28"/>
  <c r="S36" i="28"/>
  <c r="S24" i="28"/>
  <c r="S50" i="28" s="1"/>
  <c r="S121" i="28"/>
  <c r="S57" i="28"/>
  <c r="S78" i="28"/>
  <c r="S9" i="28"/>
  <c r="S20" i="28" s="1"/>
  <c r="S120" i="28"/>
  <c r="S28" i="28"/>
  <c r="S23" i="28"/>
  <c r="S32" i="28"/>
  <c r="S81" i="28"/>
  <c r="S53" i="28"/>
  <c r="S29" i="28"/>
  <c r="S124" i="28"/>
  <c r="I35" i="2"/>
  <c r="M35" i="2"/>
  <c r="J35" i="2"/>
  <c r="L35" i="2"/>
  <c r="K35" i="2"/>
  <c r="H35" i="2"/>
  <c r="H69" i="2"/>
  <c r="J69" i="2"/>
  <c r="M69" i="2"/>
  <c r="L23" i="42"/>
  <c r="L80" i="2"/>
  <c r="F74" i="32"/>
  <c r="I80" i="2"/>
  <c r="L108" i="2"/>
  <c r="K117" i="2"/>
  <c r="K119" i="2"/>
  <c r="L117" i="2"/>
  <c r="L119" i="2"/>
  <c r="H117" i="2"/>
  <c r="J117" i="2"/>
  <c r="J119" i="2"/>
  <c r="M117" i="2"/>
  <c r="I117" i="2"/>
  <c r="I119" i="2"/>
  <c r="G119" i="2"/>
  <c r="I108" i="2"/>
  <c r="L33" i="2"/>
  <c r="K39" i="2"/>
  <c r="Q35" i="28"/>
  <c r="K41" i="2"/>
  <c r="M46" i="28"/>
  <c r="N46" i="28"/>
  <c r="F26" i="32"/>
  <c r="J33" i="2"/>
  <c r="K33" i="2"/>
  <c r="M45" i="28"/>
  <c r="H40" i="2"/>
  <c r="F43" i="32"/>
  <c r="K25" i="2"/>
  <c r="I33" i="2"/>
  <c r="I40" i="2"/>
  <c r="I30" i="2"/>
  <c r="H30" i="2"/>
  <c r="N35" i="28"/>
  <c r="M30" i="2"/>
  <c r="L13" i="2"/>
  <c r="L30" i="2"/>
  <c r="M43" i="2"/>
  <c r="L24" i="2"/>
  <c r="M40" i="2"/>
  <c r="K34" i="2"/>
  <c r="H41" i="2"/>
  <c r="H43" i="2"/>
  <c r="I43" i="2"/>
  <c r="F36" i="32"/>
  <c r="K40" i="2"/>
  <c r="F31" i="32"/>
  <c r="M34" i="2"/>
  <c r="M41" i="2"/>
  <c r="O35" i="28"/>
  <c r="T35" i="28"/>
  <c r="P35" i="28"/>
  <c r="F30" i="32"/>
  <c r="J40" i="2"/>
  <c r="L40" i="2"/>
  <c r="J43" i="2"/>
  <c r="I41" i="2"/>
  <c r="K43" i="2"/>
  <c r="L25" i="2"/>
  <c r="L30" i="28"/>
  <c r="H25" i="2"/>
  <c r="Q30" i="28"/>
  <c r="L42" i="28"/>
  <c r="I37" i="2"/>
  <c r="M37" i="2"/>
  <c r="K30" i="2"/>
  <c r="H37" i="2"/>
  <c r="F23" i="32"/>
  <c r="K13" i="2"/>
  <c r="H13" i="2"/>
  <c r="L37" i="2"/>
  <c r="K37" i="2"/>
  <c r="Q31" i="28"/>
  <c r="I18" i="2"/>
  <c r="K18" i="2"/>
  <c r="M18" i="2"/>
  <c r="J18" i="2"/>
  <c r="L18" i="2"/>
  <c r="M54" i="28"/>
  <c r="P54" i="28"/>
  <c r="O54" i="28"/>
  <c r="M26" i="2"/>
  <c r="L26" i="2"/>
  <c r="J26" i="2"/>
  <c r="H26" i="2"/>
  <c r="I26" i="2"/>
  <c r="K26" i="2"/>
  <c r="M25" i="28"/>
  <c r="T25" i="28"/>
  <c r="N25" i="28"/>
  <c r="Q25" i="28"/>
  <c r="M47" i="2"/>
  <c r="J10" i="2"/>
  <c r="K10" i="2"/>
  <c r="H50" i="2"/>
  <c r="L50" i="2"/>
  <c r="L65" i="2"/>
  <c r="J65" i="2"/>
  <c r="I65" i="2"/>
  <c r="M65" i="2"/>
  <c r="H65" i="2"/>
  <c r="F77" i="32"/>
  <c r="K65" i="2"/>
  <c r="Q10" i="28"/>
  <c r="L10" i="28"/>
  <c r="M10" i="28"/>
  <c r="T57" i="28"/>
  <c r="P57" i="28"/>
  <c r="N57" i="28"/>
  <c r="L57" i="28"/>
  <c r="O57" i="28"/>
  <c r="T77" i="28"/>
  <c r="Q77" i="28"/>
  <c r="O77" i="28"/>
  <c r="M77" i="28"/>
  <c r="P77" i="28"/>
  <c r="L77" i="28"/>
  <c r="N77" i="28"/>
  <c r="I12" i="2"/>
  <c r="H12" i="2"/>
  <c r="J12" i="2"/>
  <c r="L12" i="2"/>
  <c r="M12" i="2"/>
  <c r="K12" i="2"/>
  <c r="K32" i="2"/>
  <c r="J32" i="2"/>
  <c r="I32" i="2"/>
  <c r="M32" i="2"/>
  <c r="L32" i="2"/>
  <c r="H32" i="2"/>
  <c r="P12" i="28"/>
  <c r="N12" i="28"/>
  <c r="L12" i="28"/>
  <c r="M12" i="28"/>
  <c r="Q12" i="28"/>
  <c r="O12" i="28"/>
  <c r="T40" i="28"/>
  <c r="L40" i="28"/>
  <c r="N40" i="28"/>
  <c r="Q40" i="28"/>
  <c r="O40" i="28"/>
  <c r="M40" i="28"/>
  <c r="P40" i="28"/>
  <c r="M63" i="2"/>
  <c r="H63" i="2"/>
  <c r="J63" i="2"/>
  <c r="K63" i="2"/>
  <c r="I63" i="2"/>
  <c r="P74" i="28"/>
  <c r="N74" i="28"/>
  <c r="M74" i="28"/>
  <c r="O74" i="28"/>
  <c r="Q74" i="28"/>
  <c r="L74" i="28"/>
  <c r="J132" i="42"/>
  <c r="M108" i="42"/>
  <c r="T29" i="28"/>
  <c r="M29" i="28"/>
  <c r="Q29" i="28"/>
  <c r="M119" i="2"/>
  <c r="F136" i="32"/>
  <c r="H119" i="2"/>
  <c r="M121" i="42"/>
  <c r="M9" i="2" l="1"/>
  <c r="C3" i="31"/>
  <c r="K47" i="2"/>
  <c r="BY3" i="31"/>
  <c r="AP3" i="31"/>
  <c r="J47" i="2"/>
  <c r="T3" i="31"/>
  <c r="AS3" i="31"/>
  <c r="F35" i="32"/>
  <c r="J30" i="2"/>
  <c r="J92" i="2"/>
  <c r="BM3" i="31"/>
  <c r="F43" i="26"/>
  <c r="J24" i="2"/>
  <c r="L66" i="2"/>
  <c r="AJ3" i="31"/>
  <c r="BN3" i="31"/>
  <c r="H27" i="26"/>
  <c r="F35" i="26"/>
  <c r="I35" i="26" s="1"/>
  <c r="H20" i="26"/>
  <c r="H24" i="2"/>
  <c r="F96" i="32"/>
  <c r="K66" i="2"/>
  <c r="AA3" i="31"/>
  <c r="L19" i="2"/>
  <c r="I19" i="2"/>
  <c r="M19" i="2"/>
  <c r="H19" i="2"/>
  <c r="K19" i="2"/>
  <c r="J19" i="2"/>
  <c r="O133" i="2"/>
  <c r="L102" i="2"/>
  <c r="H102" i="2"/>
  <c r="M102" i="2"/>
  <c r="I102" i="2"/>
  <c r="K102" i="2"/>
  <c r="J102" i="2"/>
  <c r="F111" i="32"/>
  <c r="H85" i="2"/>
  <c r="M85" i="2"/>
  <c r="J85" i="2"/>
  <c r="I85" i="2"/>
  <c r="K85" i="2"/>
  <c r="L85" i="2"/>
  <c r="L79" i="2"/>
  <c r="J79" i="2"/>
  <c r="H79" i="2"/>
  <c r="M79" i="2"/>
  <c r="I79" i="2"/>
  <c r="F92" i="32"/>
  <c r="K79" i="2"/>
  <c r="I103" i="2"/>
  <c r="J103" i="2"/>
  <c r="L103" i="2"/>
  <c r="K103" i="2"/>
  <c r="M103" i="2"/>
  <c r="H103" i="2"/>
  <c r="L11" i="28"/>
  <c r="O11" i="28"/>
  <c r="Q11" i="28"/>
  <c r="M11" i="28"/>
  <c r="N11" i="28"/>
  <c r="P11" i="28"/>
  <c r="J55" i="2"/>
  <c r="M55" i="2"/>
  <c r="L55" i="2"/>
  <c r="H55" i="2"/>
  <c r="K55" i="2"/>
  <c r="I55" i="2"/>
  <c r="F56" i="32"/>
  <c r="G52" i="2"/>
  <c r="AU3" i="31" s="1"/>
  <c r="K59" i="28"/>
  <c r="G38" i="2"/>
  <c r="K28" i="28"/>
  <c r="P29" i="28"/>
  <c r="M10" i="2"/>
  <c r="O30" i="28"/>
  <c r="L39" i="2"/>
  <c r="M39" i="2"/>
  <c r="L63" i="2"/>
  <c r="H144" i="28"/>
  <c r="L25" i="28"/>
  <c r="O25" i="28"/>
  <c r="P25" i="28"/>
  <c r="G11" i="2"/>
  <c r="K94" i="2"/>
  <c r="M94" i="2"/>
  <c r="J94" i="2"/>
  <c r="I94" i="2"/>
  <c r="H80" i="2"/>
  <c r="K80" i="2"/>
  <c r="M80" i="2"/>
  <c r="J80" i="2"/>
  <c r="C144" i="28"/>
  <c r="C140" i="28"/>
  <c r="C151" i="28" s="1"/>
  <c r="K26" i="28"/>
  <c r="G21" i="2"/>
  <c r="L112" i="43"/>
  <c r="P23" i="43"/>
  <c r="K91" i="28"/>
  <c r="G77" i="2"/>
  <c r="BQ3" i="31" s="1"/>
  <c r="Q56" i="28"/>
  <c r="P56" i="28"/>
  <c r="L56" i="28"/>
  <c r="N22" i="43"/>
  <c r="P22" i="43"/>
  <c r="O42" i="28"/>
  <c r="M42" i="28"/>
  <c r="P42" i="28"/>
  <c r="K9" i="2"/>
  <c r="H9" i="2"/>
  <c r="L9" i="2"/>
  <c r="P46" i="28"/>
  <c r="T46" i="28"/>
  <c r="L46" i="28"/>
  <c r="L34" i="2"/>
  <c r="J34" i="2"/>
  <c r="I34" i="2"/>
  <c r="H34" i="2"/>
  <c r="N42" i="28"/>
  <c r="T30" i="28"/>
  <c r="N45" i="28"/>
  <c r="M30" i="28"/>
  <c r="L73" i="28"/>
  <c r="M73" i="28"/>
  <c r="O45" i="28"/>
  <c r="H108" i="2"/>
  <c r="M108" i="2"/>
  <c r="J108" i="2"/>
  <c r="K64" i="2"/>
  <c r="L64" i="2"/>
  <c r="I64" i="2"/>
  <c r="J64" i="2"/>
  <c r="M64" i="2"/>
  <c r="K86" i="2"/>
  <c r="J86" i="2"/>
  <c r="I86" i="2"/>
  <c r="L86" i="2"/>
  <c r="M86" i="2"/>
  <c r="H108" i="42"/>
  <c r="H121" i="42" s="1"/>
  <c r="H132" i="42" s="1"/>
  <c r="H142" i="42" s="1"/>
  <c r="H144" i="42" s="1"/>
  <c r="H146" i="42" s="1"/>
  <c r="G68" i="2"/>
  <c r="BH3" i="31" s="1"/>
  <c r="K80" i="28"/>
  <c r="E140" i="28"/>
  <c r="E151" i="28" s="1"/>
  <c r="D151" i="28"/>
  <c r="F108" i="42"/>
  <c r="F121" i="42" s="1"/>
  <c r="F132" i="42" s="1"/>
  <c r="F142" i="42" s="1"/>
  <c r="F144" i="42" s="1"/>
  <c r="F146" i="42" s="1"/>
  <c r="O29" i="28"/>
  <c r="T42" i="28"/>
  <c r="Q73" i="28"/>
  <c r="S136" i="28"/>
  <c r="S138" i="28" s="1"/>
  <c r="M13" i="28"/>
  <c r="L58" i="2"/>
  <c r="Q57" i="28"/>
  <c r="M57" i="28"/>
  <c r="G31" i="2"/>
  <c r="AB3" i="31" s="1"/>
  <c r="K38" i="28"/>
  <c r="L69" i="2"/>
  <c r="K69" i="2"/>
  <c r="I69" i="2"/>
  <c r="I108" i="42"/>
  <c r="I121" i="42" s="1"/>
  <c r="I132" i="42" s="1"/>
  <c r="I142" i="42" s="1"/>
  <c r="I144" i="42" s="1"/>
  <c r="I146" i="42" s="1"/>
  <c r="E108" i="42"/>
  <c r="E121" i="42" s="1"/>
  <c r="E132" i="42" s="1"/>
  <c r="E142" i="42" s="1"/>
  <c r="E144" i="42" s="1"/>
  <c r="E146" i="42" s="1"/>
  <c r="J50" i="2"/>
  <c r="M50" i="2"/>
  <c r="L45" i="28"/>
  <c r="Q45" i="28"/>
  <c r="L29" i="28"/>
  <c r="F83" i="32"/>
  <c r="Q42" i="28"/>
  <c r="L54" i="28"/>
  <c r="N54" i="28"/>
  <c r="H86" i="2"/>
  <c r="K55" i="28"/>
  <c r="I39" i="2"/>
  <c r="F45" i="32"/>
  <c r="J39" i="2"/>
  <c r="G76" i="2"/>
  <c r="BP3" i="31" s="1"/>
  <c r="K90" i="28"/>
  <c r="I9" i="2"/>
  <c r="P13" i="28"/>
  <c r="O13" i="28"/>
  <c r="T13" i="28"/>
  <c r="G136" i="28"/>
  <c r="M87" i="28"/>
  <c r="N87" i="28"/>
  <c r="T87" i="28"/>
  <c r="Q87" i="28"/>
  <c r="O87" i="28"/>
  <c r="P87" i="28"/>
  <c r="M58" i="2"/>
  <c r="H58" i="2"/>
  <c r="M48" i="2"/>
  <c r="K48" i="2"/>
  <c r="L48" i="2"/>
  <c r="J48" i="2"/>
  <c r="H82" i="2"/>
  <c r="I82" i="2"/>
  <c r="J82" i="2"/>
  <c r="K82" i="2"/>
  <c r="L91" i="2"/>
  <c r="M91" i="2"/>
  <c r="M95" i="2" s="1"/>
  <c r="J91" i="2"/>
  <c r="J95" i="2" s="1"/>
  <c r="K91" i="2"/>
  <c r="G95" i="2"/>
  <c r="H95" i="2" s="1"/>
  <c r="F52" i="32"/>
  <c r="I91" i="2"/>
  <c r="N108" i="42"/>
  <c r="O73" i="28"/>
  <c r="N31" i="28"/>
  <c r="P31" i="28"/>
  <c r="M31" i="28"/>
  <c r="I10" i="2"/>
  <c r="H10" i="2"/>
  <c r="J73" i="2"/>
  <c r="L73" i="2"/>
  <c r="M73" i="2"/>
  <c r="I73" i="2"/>
  <c r="H73" i="2"/>
  <c r="K73" i="2"/>
  <c r="I50" i="2"/>
  <c r="T54" i="28"/>
  <c r="L31" i="28"/>
  <c r="L87" i="28"/>
  <c r="P73" i="28"/>
  <c r="H48" i="2"/>
  <c r="J58" i="2"/>
  <c r="H47" i="2"/>
  <c r="I47" i="2"/>
  <c r="L47" i="2"/>
  <c r="N30" i="28"/>
  <c r="G23" i="2"/>
  <c r="I78" i="2"/>
  <c r="M78" i="2"/>
  <c r="J78" i="2"/>
  <c r="K78" i="2"/>
  <c r="E114" i="2"/>
  <c r="E121" i="2" s="1"/>
  <c r="E123" i="2"/>
  <c r="F9" i="32"/>
  <c r="N10" i="28"/>
  <c r="P10" i="28"/>
  <c r="O10" i="28"/>
  <c r="M66" i="2"/>
  <c r="H66" i="2"/>
  <c r="I66" i="2"/>
  <c r="J13" i="2"/>
  <c r="M13" i="2"/>
  <c r="I25" i="2"/>
  <c r="J25" i="2"/>
  <c r="M25" i="2"/>
  <c r="K112" i="43"/>
  <c r="K125" i="43" s="1"/>
  <c r="K136" i="43" s="1"/>
  <c r="K146" i="43" s="1"/>
  <c r="K148" i="43" s="1"/>
  <c r="K150" i="43" s="1"/>
  <c r="L41" i="2"/>
  <c r="J41" i="2"/>
  <c r="L28" i="2"/>
  <c r="J28" i="2"/>
  <c r="K28" i="2"/>
  <c r="M28" i="2"/>
  <c r="I50" i="26"/>
  <c r="I53" i="26" s="1"/>
  <c r="F53" i="26"/>
  <c r="H82" i="25"/>
  <c r="H26" i="25"/>
  <c r="L128" i="42"/>
  <c r="O104" i="42"/>
  <c r="N104" i="42"/>
  <c r="Q122" i="28"/>
  <c r="Q63" i="28"/>
  <c r="Q75" i="28"/>
  <c r="K9" i="28"/>
  <c r="Q120" i="28"/>
  <c r="Q136" i="28" s="1"/>
  <c r="Q24" i="28"/>
  <c r="Q104" i="28"/>
  <c r="G50" i="28"/>
  <c r="H110" i="43"/>
  <c r="H112" i="43" s="1"/>
  <c r="H125" i="43" s="1"/>
  <c r="H136" i="43" s="1"/>
  <c r="H146" i="43" s="1"/>
  <c r="H148" i="43" s="1"/>
  <c r="H150" i="43" s="1"/>
  <c r="N114" i="2"/>
  <c r="P111" i="2"/>
  <c r="H47" i="25"/>
  <c r="G20" i="2" s="1"/>
  <c r="L33" i="28"/>
  <c r="Q33" i="28"/>
  <c r="T33" i="28"/>
  <c r="T149" i="28"/>
  <c r="H33" i="2"/>
  <c r="M33" i="2"/>
  <c r="P23" i="28"/>
  <c r="O23" i="28"/>
  <c r="L42" i="2"/>
  <c r="H42" i="2"/>
  <c r="J42" i="2"/>
  <c r="M128" i="42"/>
  <c r="F51" i="32"/>
  <c r="F59" i="32" s="1"/>
  <c r="H92" i="2"/>
  <c r="L92" i="2"/>
  <c r="N110" i="43"/>
  <c r="O131" i="2"/>
  <c r="O123" i="2"/>
  <c r="O125" i="2" s="1"/>
  <c r="O127" i="2" s="1"/>
  <c r="O129" i="2" s="1"/>
  <c r="G70" i="2"/>
  <c r="K82" i="28"/>
  <c r="O44" i="2"/>
  <c r="G110" i="43"/>
  <c r="Q76" i="28"/>
  <c r="N81" i="28"/>
  <c r="Q81" i="28"/>
  <c r="O27" i="28"/>
  <c r="N27" i="28"/>
  <c r="L27" i="28"/>
  <c r="M56" i="2"/>
  <c r="H56" i="2"/>
  <c r="J56" i="2"/>
  <c r="K58" i="28"/>
  <c r="G51" i="2"/>
  <c r="AT3" i="31" s="1"/>
  <c r="F123" i="32"/>
  <c r="I105" i="2"/>
  <c r="I107" i="2"/>
  <c r="M107" i="2"/>
  <c r="M100" i="2"/>
  <c r="K100" i="2"/>
  <c r="I100" i="2"/>
  <c r="F16" i="32"/>
  <c r="Q83" i="28"/>
  <c r="J138" i="28"/>
  <c r="J140" i="28" s="1"/>
  <c r="J151" i="28" s="1"/>
  <c r="F42" i="32"/>
  <c r="F46" i="32" s="1"/>
  <c r="I24" i="2"/>
  <c r="K24" i="2"/>
  <c r="O88" i="2"/>
  <c r="H289" i="25"/>
  <c r="G71" i="2" s="1"/>
  <c r="BK3" i="31" s="1"/>
  <c r="M53" i="2"/>
  <c r="J53" i="2"/>
  <c r="I53" i="2"/>
  <c r="K53" i="2"/>
  <c r="L57" i="2"/>
  <c r="M57" i="2"/>
  <c r="H57" i="2"/>
  <c r="M84" i="2"/>
  <c r="J84" i="2"/>
  <c r="I84" i="2"/>
  <c r="Q105" i="28"/>
  <c r="F113" i="32"/>
  <c r="K99" i="2"/>
  <c r="J99" i="2"/>
  <c r="I99" i="2"/>
  <c r="H99" i="2"/>
  <c r="M62" i="2"/>
  <c r="J62" i="2"/>
  <c r="N15" i="28"/>
  <c r="M15" i="28"/>
  <c r="L15" i="28"/>
  <c r="M35" i="28"/>
  <c r="L35" i="28"/>
  <c r="K79" i="28"/>
  <c r="G67" i="2"/>
  <c r="BG3" i="31" s="1"/>
  <c r="H98" i="2"/>
  <c r="J98" i="2"/>
  <c r="M98" i="2"/>
  <c r="K106" i="42"/>
  <c r="K108" i="42" s="1"/>
  <c r="L55" i="42"/>
  <c r="L106" i="42" s="1"/>
  <c r="G112" i="43"/>
  <c r="G125" i="43" s="1"/>
  <c r="G136" i="43" s="1"/>
  <c r="G146" i="43" s="1"/>
  <c r="G148" i="43" s="1"/>
  <c r="G150" i="43" s="1"/>
  <c r="L83" i="2"/>
  <c r="H83" i="2"/>
  <c r="H127" i="25"/>
  <c r="P148" i="28"/>
  <c r="L148" i="28"/>
  <c r="I36" i="26"/>
  <c r="I43" i="26" s="1"/>
  <c r="H43" i="26"/>
  <c r="H57" i="26" s="1"/>
  <c r="M136" i="28"/>
  <c r="N148" i="28"/>
  <c r="Q34" i="28"/>
  <c r="P34" i="28"/>
  <c r="L34" i="28"/>
  <c r="T85" i="28"/>
  <c r="Q128" i="43"/>
  <c r="O132" i="43"/>
  <c r="H208" i="25"/>
  <c r="G54" i="2" s="1"/>
  <c r="AW3" i="31" s="1"/>
  <c r="H294" i="25"/>
  <c r="F27" i="27"/>
  <c r="G27" i="27" s="1"/>
  <c r="M36" i="28"/>
  <c r="L88" i="28"/>
  <c r="M88" i="28"/>
  <c r="T36" i="28"/>
  <c r="O88" i="28"/>
  <c r="K69" i="28" l="1"/>
  <c r="L69" i="28" s="1"/>
  <c r="K95" i="2"/>
  <c r="I57" i="26"/>
  <c r="G101" i="2" s="1"/>
  <c r="CF3" i="31" s="1"/>
  <c r="G49" i="2"/>
  <c r="G59" i="2" s="1"/>
  <c r="K53" i="28"/>
  <c r="I95" i="2"/>
  <c r="M101" i="2"/>
  <c r="M109" i="2" s="1"/>
  <c r="S144" i="28"/>
  <c r="S140" i="28"/>
  <c r="S151" i="28" s="1"/>
  <c r="H70" i="2"/>
  <c r="K70" i="2"/>
  <c r="L70" i="2"/>
  <c r="M70" i="2"/>
  <c r="I70" i="2"/>
  <c r="J70" i="2"/>
  <c r="Q116" i="28"/>
  <c r="T38" i="28"/>
  <c r="O38" i="28"/>
  <c r="L38" i="28"/>
  <c r="P38" i="28"/>
  <c r="Q38" i="28"/>
  <c r="N38" i="28"/>
  <c r="M38" i="28"/>
  <c r="O91" i="28"/>
  <c r="Q91" i="28"/>
  <c r="N91" i="28"/>
  <c r="P91" i="28"/>
  <c r="M91" i="28"/>
  <c r="L91" i="28"/>
  <c r="F11" i="32"/>
  <c r="H11" i="2"/>
  <c r="L11" i="2"/>
  <c r="I11" i="2"/>
  <c r="K11" i="2"/>
  <c r="J11" i="2"/>
  <c r="M11" i="2"/>
  <c r="F81" i="32"/>
  <c r="M52" i="2"/>
  <c r="L52" i="2"/>
  <c r="I52" i="2"/>
  <c r="K52" i="2"/>
  <c r="H52" i="2"/>
  <c r="J52" i="2"/>
  <c r="K84" i="28"/>
  <c r="G72" i="2"/>
  <c r="G36" i="2"/>
  <c r="AF3" i="31" s="1"/>
  <c r="K41" i="28"/>
  <c r="K50" i="28" s="1"/>
  <c r="K23" i="2"/>
  <c r="I23" i="2"/>
  <c r="J23" i="2"/>
  <c r="M23" i="2"/>
  <c r="L23" i="2"/>
  <c r="H23" i="2"/>
  <c r="K31" i="2"/>
  <c r="J31" i="2"/>
  <c r="F124" i="32"/>
  <c r="H31" i="2"/>
  <c r="I31" i="2"/>
  <c r="L31" i="2"/>
  <c r="M31" i="2"/>
  <c r="F98" i="32"/>
  <c r="L67" i="2"/>
  <c r="K67" i="2"/>
  <c r="I67" i="2"/>
  <c r="M67" i="2"/>
  <c r="J67" i="2"/>
  <c r="H67" i="2"/>
  <c r="J51" i="2"/>
  <c r="M51" i="2"/>
  <c r="I51" i="2"/>
  <c r="K51" i="2"/>
  <c r="F87" i="32"/>
  <c r="L51" i="2"/>
  <c r="H51" i="2"/>
  <c r="G14" i="2"/>
  <c r="G15" i="2" s="1"/>
  <c r="N3" i="31" s="1"/>
  <c r="K17" i="28"/>
  <c r="L95" i="2"/>
  <c r="P90" i="28"/>
  <c r="Q90" i="28"/>
  <c r="N90" i="28"/>
  <c r="M90" i="28"/>
  <c r="T90" i="28"/>
  <c r="O90" i="28"/>
  <c r="L90" i="28"/>
  <c r="L125" i="43"/>
  <c r="P112" i="43"/>
  <c r="N112" i="43"/>
  <c r="L79" i="28"/>
  <c r="M79" i="28"/>
  <c r="O79" i="28"/>
  <c r="N79" i="28"/>
  <c r="Q79" i="28"/>
  <c r="P79" i="28"/>
  <c r="J71" i="2"/>
  <c r="K71" i="2"/>
  <c r="L71" i="2"/>
  <c r="H71" i="2"/>
  <c r="F93" i="32"/>
  <c r="M71" i="2"/>
  <c r="I71" i="2"/>
  <c r="O58" i="28"/>
  <c r="M58" i="28"/>
  <c r="P58" i="28"/>
  <c r="L58" i="28"/>
  <c r="Q58" i="28"/>
  <c r="N58" i="28"/>
  <c r="T58" i="28"/>
  <c r="L20" i="2"/>
  <c r="I20" i="2"/>
  <c r="H20" i="2"/>
  <c r="K20" i="2"/>
  <c r="J20" i="2"/>
  <c r="M20" i="2"/>
  <c r="F22" i="32"/>
  <c r="P9" i="28"/>
  <c r="P20" i="28" s="1"/>
  <c r="Q9" i="28"/>
  <c r="Q20" i="28" s="1"/>
  <c r="N9" i="28"/>
  <c r="N20" i="28" s="1"/>
  <c r="O9" i="28"/>
  <c r="O20" i="28" s="1"/>
  <c r="M9" i="28"/>
  <c r="M20" i="28" s="1"/>
  <c r="T9" i="28"/>
  <c r="L9" i="28"/>
  <c r="K20" i="28"/>
  <c r="G27" i="2"/>
  <c r="K32" i="28"/>
  <c r="M76" i="2"/>
  <c r="J76" i="2"/>
  <c r="I76" i="2"/>
  <c r="K76" i="2"/>
  <c r="L76" i="2"/>
  <c r="F71" i="32"/>
  <c r="H76" i="2"/>
  <c r="F27" i="32"/>
  <c r="M21" i="2"/>
  <c r="I21" i="2"/>
  <c r="J21" i="2"/>
  <c r="H21" i="2"/>
  <c r="K21" i="2"/>
  <c r="L21" i="2"/>
  <c r="L54" i="2"/>
  <c r="M54" i="2"/>
  <c r="I54" i="2"/>
  <c r="K54" i="2"/>
  <c r="F99" i="32"/>
  <c r="J54" i="2"/>
  <c r="H54" i="2"/>
  <c r="O26" i="28"/>
  <c r="P26" i="28"/>
  <c r="L26" i="28"/>
  <c r="Q26" i="28"/>
  <c r="T26" i="28"/>
  <c r="N26" i="28"/>
  <c r="M26" i="28"/>
  <c r="G75" i="2"/>
  <c r="K72" i="28"/>
  <c r="N121" i="2"/>
  <c r="P114" i="2"/>
  <c r="P28" i="28"/>
  <c r="L28" i="28"/>
  <c r="T28" i="28"/>
  <c r="N28" i="28"/>
  <c r="M28" i="28"/>
  <c r="Q28" i="28"/>
  <c r="O28" i="28"/>
  <c r="K121" i="42"/>
  <c r="L108" i="42"/>
  <c r="O111" i="2"/>
  <c r="O114" i="2" s="1"/>
  <c r="O116" i="2" s="1"/>
  <c r="O118" i="2" s="1"/>
  <c r="T80" i="28"/>
  <c r="L80" i="28"/>
  <c r="N80" i="28"/>
  <c r="M80" i="28"/>
  <c r="P80" i="28"/>
  <c r="O80" i="28"/>
  <c r="Q80" i="28"/>
  <c r="L38" i="2"/>
  <c r="J38" i="2"/>
  <c r="K38" i="2"/>
  <c r="M38" i="2"/>
  <c r="F29" i="32"/>
  <c r="I38" i="2"/>
  <c r="H38" i="2"/>
  <c r="P132" i="43"/>
  <c r="O136" i="43"/>
  <c r="M82" i="28"/>
  <c r="P82" i="28"/>
  <c r="T82" i="28"/>
  <c r="O82" i="28"/>
  <c r="Q82" i="28"/>
  <c r="L82" i="28"/>
  <c r="N82" i="28"/>
  <c r="N128" i="42"/>
  <c r="M132" i="42"/>
  <c r="G138" i="28"/>
  <c r="L55" i="28"/>
  <c r="Q55" i="28"/>
  <c r="P55" i="28"/>
  <c r="M55" i="28"/>
  <c r="O55" i="28"/>
  <c r="N55" i="28"/>
  <c r="F85" i="32"/>
  <c r="H68" i="2"/>
  <c r="F91" i="32"/>
  <c r="L68" i="2"/>
  <c r="J68" i="2"/>
  <c r="K68" i="2"/>
  <c r="I68" i="2"/>
  <c r="M68" i="2"/>
  <c r="M77" i="2"/>
  <c r="H77" i="2"/>
  <c r="F95" i="32"/>
  <c r="L77" i="2"/>
  <c r="J77" i="2"/>
  <c r="I77" i="2"/>
  <c r="K77" i="2"/>
  <c r="F57" i="26"/>
  <c r="O59" i="28"/>
  <c r="L59" i="28"/>
  <c r="N59" i="28"/>
  <c r="M59" i="28"/>
  <c r="Q59" i="28"/>
  <c r="P59" i="28"/>
  <c r="H59" i="2" l="1"/>
  <c r="BA3" i="31"/>
  <c r="K101" i="2"/>
  <c r="K109" i="2" s="1"/>
  <c r="T69" i="28"/>
  <c r="I101" i="2"/>
  <c r="I109" i="2" s="1"/>
  <c r="G44" i="2"/>
  <c r="AO3" i="31" s="1"/>
  <c r="J101" i="2"/>
  <c r="J109" i="2" s="1"/>
  <c r="L101" i="2"/>
  <c r="L109" i="2" s="1"/>
  <c r="F119" i="32"/>
  <c r="F125" i="32" s="1"/>
  <c r="P53" i="28"/>
  <c r="P69" i="28" s="1"/>
  <c r="N53" i="28"/>
  <c r="N69" i="28" s="1"/>
  <c r="M53" i="28"/>
  <c r="M69" i="28" s="1"/>
  <c r="O53" i="28"/>
  <c r="O69" i="28" s="1"/>
  <c r="L53" i="28"/>
  <c r="Q53" i="28"/>
  <c r="T53" i="28"/>
  <c r="L59" i="2"/>
  <c r="G109" i="2"/>
  <c r="H109" i="2" s="1"/>
  <c r="K49" i="2"/>
  <c r="K59" i="2" s="1"/>
  <c r="I49" i="2"/>
  <c r="I59" i="2" s="1"/>
  <c r="M49" i="2"/>
  <c r="M59" i="2" s="1"/>
  <c r="L49" i="2"/>
  <c r="H49" i="2"/>
  <c r="J49" i="2"/>
  <c r="J59" i="2" s="1"/>
  <c r="F69" i="32"/>
  <c r="F101" i="32" s="1"/>
  <c r="H101" i="2"/>
  <c r="Q69" i="28"/>
  <c r="H15" i="2"/>
  <c r="J137" i="2"/>
  <c r="M88" i="2"/>
  <c r="I15" i="2"/>
  <c r="L50" i="28"/>
  <c r="T50" i="28"/>
  <c r="G111" i="2"/>
  <c r="H44" i="2"/>
  <c r="K132" i="42"/>
  <c r="L121" i="42"/>
  <c r="T84" i="28"/>
  <c r="N84" i="28"/>
  <c r="P84" i="28"/>
  <c r="O84" i="28"/>
  <c r="L84" i="28"/>
  <c r="Q84" i="28"/>
  <c r="M84" i="28"/>
  <c r="T20" i="28"/>
  <c r="L20" i="28"/>
  <c r="G144" i="28"/>
  <c r="G140" i="28"/>
  <c r="G151" i="28" s="1"/>
  <c r="L72" i="2"/>
  <c r="I72" i="2"/>
  <c r="I88" i="2" s="1"/>
  <c r="H72" i="2"/>
  <c r="M72" i="2"/>
  <c r="K72" i="2"/>
  <c r="F97" i="32"/>
  <c r="J72" i="2"/>
  <c r="G88" i="2"/>
  <c r="H88" i="2" s="1"/>
  <c r="P136" i="43"/>
  <c r="O146" i="43"/>
  <c r="Q17" i="28"/>
  <c r="O17" i="28"/>
  <c r="M17" i="28"/>
  <c r="P17" i="28"/>
  <c r="N17" i="28"/>
  <c r="T17" i="28"/>
  <c r="L17" i="28"/>
  <c r="P121" i="2"/>
  <c r="P133" i="2" s="1"/>
  <c r="N133" i="2"/>
  <c r="I14" i="2"/>
  <c r="H14" i="2"/>
  <c r="K14" i="2"/>
  <c r="K15" i="2" s="1"/>
  <c r="L14" i="2"/>
  <c r="L15" i="2" s="1"/>
  <c r="M14" i="2"/>
  <c r="M15" i="2" s="1"/>
  <c r="J14" i="2"/>
  <c r="J15" i="2" s="1"/>
  <c r="F10" i="32"/>
  <c r="F12" i="32" s="1"/>
  <c r="N132" i="42"/>
  <c r="M142" i="42"/>
  <c r="L72" i="28"/>
  <c r="K101" i="28"/>
  <c r="M72" i="28"/>
  <c r="M101" i="28" s="1"/>
  <c r="O72" i="28"/>
  <c r="O101" i="28" s="1"/>
  <c r="Q72" i="28"/>
  <c r="Q101" i="28" s="1"/>
  <c r="N72" i="28"/>
  <c r="P72" i="28"/>
  <c r="P101" i="28" s="1"/>
  <c r="P32" i="28"/>
  <c r="Q32" i="28"/>
  <c r="Q50" i="28" s="1"/>
  <c r="M32" i="28"/>
  <c r="M50" i="28" s="1"/>
  <c r="N32" i="28"/>
  <c r="N50" i="28" s="1"/>
  <c r="L32" i="28"/>
  <c r="O32" i="28"/>
  <c r="O50" i="28" s="1"/>
  <c r="T32" i="28"/>
  <c r="K75" i="2"/>
  <c r="L75" i="2"/>
  <c r="M75" i="2"/>
  <c r="I75" i="2"/>
  <c r="H75" i="2"/>
  <c r="J75" i="2"/>
  <c r="J88" i="2" s="1"/>
  <c r="J27" i="2"/>
  <c r="F18" i="32"/>
  <c r="F39" i="32" s="1"/>
  <c r="I27" i="2"/>
  <c r="I44" i="2" s="1"/>
  <c r="L27" i="2"/>
  <c r="H27" i="2"/>
  <c r="M27" i="2"/>
  <c r="K27" i="2"/>
  <c r="L136" i="43"/>
  <c r="P125" i="43"/>
  <c r="N125" i="43"/>
  <c r="O41" i="28"/>
  <c r="P41" i="28"/>
  <c r="N41" i="28"/>
  <c r="Q41" i="28"/>
  <c r="T41" i="28"/>
  <c r="L41" i="28"/>
  <c r="M41" i="28"/>
  <c r="M36" i="2"/>
  <c r="K36" i="2"/>
  <c r="J36" i="2"/>
  <c r="H36" i="2"/>
  <c r="I36" i="2"/>
  <c r="L36" i="2"/>
  <c r="F20" i="32"/>
  <c r="I111" i="2" l="1"/>
  <c r="I123" i="2" s="1"/>
  <c r="F131" i="32"/>
  <c r="M44" i="2"/>
  <c r="M111" i="2" s="1"/>
  <c r="M138" i="28"/>
  <c r="Q138" i="28"/>
  <c r="Q144" i="28" s="1"/>
  <c r="K88" i="2"/>
  <c r="F133" i="32"/>
  <c r="O138" i="28"/>
  <c r="O140" i="28" s="1"/>
  <c r="O151" i="28" s="1"/>
  <c r="K44" i="2"/>
  <c r="J44" i="2"/>
  <c r="J111" i="2" s="1"/>
  <c r="L88" i="2"/>
  <c r="M144" i="28"/>
  <c r="M140" i="28"/>
  <c r="M151" i="28" s="1"/>
  <c r="Q140" i="28"/>
  <c r="Q151" i="28" s="1"/>
  <c r="T101" i="28"/>
  <c r="L101" i="28"/>
  <c r="K138" i="28"/>
  <c r="I114" i="2"/>
  <c r="I121" i="2" s="1"/>
  <c r="I133" i="2" s="1"/>
  <c r="L44" i="2"/>
  <c r="L111" i="2" s="1"/>
  <c r="L123" i="2" s="1"/>
  <c r="O148" i="43"/>
  <c r="M114" i="2"/>
  <c r="H111" i="2"/>
  <c r="G123" i="2"/>
  <c r="G113" i="2"/>
  <c r="H113" i="2" s="1"/>
  <c r="J138" i="2"/>
  <c r="P50" i="28"/>
  <c r="P138" i="28" s="1"/>
  <c r="L132" i="42"/>
  <c r="K142" i="42"/>
  <c r="K144" i="42" s="1"/>
  <c r="K146" i="42" s="1"/>
  <c r="G114" i="2"/>
  <c r="N142" i="42"/>
  <c r="M144" i="42"/>
  <c r="L146" i="43"/>
  <c r="L148" i="43" s="1"/>
  <c r="L150" i="43" s="1"/>
  <c r="N136" i="43"/>
  <c r="N101" i="28"/>
  <c r="N138" i="28" s="1"/>
  <c r="J123" i="2" l="1"/>
  <c r="J114" i="2"/>
  <c r="J121" i="2" s="1"/>
  <c r="J133" i="2" s="1"/>
  <c r="O144" i="28"/>
  <c r="K111" i="2"/>
  <c r="N144" i="28"/>
  <c r="N140" i="28"/>
  <c r="N151" i="28" s="1"/>
  <c r="M146" i="42"/>
  <c r="N144" i="42"/>
  <c r="M123" i="2"/>
  <c r="H123" i="2"/>
  <c r="L138" i="28"/>
  <c r="T138" i="28"/>
  <c r="K144" i="28"/>
  <c r="K140" i="28"/>
  <c r="G121" i="2"/>
  <c r="CT3" i="31" s="1"/>
  <c r="H114" i="2"/>
  <c r="J139" i="2"/>
  <c r="L114" i="2"/>
  <c r="L121" i="2" s="1"/>
  <c r="L133" i="2" s="1"/>
  <c r="M151" i="42"/>
  <c r="M149" i="42"/>
  <c r="P146" i="43"/>
  <c r="P144" i="28"/>
  <c r="P140" i="28"/>
  <c r="P151" i="28" s="1"/>
  <c r="O150" i="43"/>
  <c r="O153" i="43" s="1"/>
  <c r="P148" i="43"/>
  <c r="K123" i="2" l="1"/>
  <c r="K114" i="2"/>
  <c r="K121" i="2" s="1"/>
  <c r="K133" i="2" s="1"/>
  <c r="G133" i="2"/>
  <c r="H121" i="2"/>
  <c r="M121" i="2"/>
  <c r="M133" i="2" s="1"/>
  <c r="L140" i="28"/>
  <c r="K151" i="28"/>
  <c r="T140" i="28"/>
  <c r="L144" i="28"/>
  <c r="T144" i="28"/>
  <c r="L151" i="28" l="1"/>
  <c r="T151" i="28"/>
  <c r="H133" i="2"/>
  <c r="J1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Robinson, Solonge</author>
  </authors>
  <commentList>
    <comment ref="C4" authorId="0" shapeId="0" xr:uid="{00000000-0006-0000-0000-000001000000}">
      <text>
        <r>
          <rPr>
            <b/>
            <sz val="9"/>
            <color indexed="81"/>
            <rFont val="Tahoma"/>
            <family val="2"/>
          </rPr>
          <t xml:space="preserve">CHA: Cells Highlighted In Green MUST be filled Out. </t>
        </r>
      </text>
    </comment>
    <comment ref="E7" authorId="0" shapeId="0" xr:uid="{00000000-0006-0000-0000-000002000000}">
      <text>
        <r>
          <rPr>
            <b/>
            <sz val="9"/>
            <color indexed="81"/>
            <rFont val="Tahoma"/>
            <family val="2"/>
          </rPr>
          <t>Robinson, Solonge:</t>
        </r>
        <r>
          <rPr>
            <sz val="9"/>
            <color indexed="81"/>
            <rFont val="Tahoma"/>
            <family val="2"/>
          </rPr>
          <t xml:space="preserve">
Please input  1st-2nd Qtr actuals plus  3rd-4th qtr estimates. </t>
        </r>
      </text>
    </comment>
    <comment ref="N7" authorId="0" shapeId="0" xr:uid="{00000000-0006-0000-0000-000003000000}">
      <text>
        <r>
          <rPr>
            <b/>
            <sz val="9"/>
            <color indexed="81"/>
            <rFont val="Tahoma"/>
            <family val="2"/>
          </rPr>
          <t xml:space="preserve">CHA: Total Development Budget MUST be completed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Robinson, Solonge</author>
  </authors>
  <commentList>
    <comment ref="B89" authorId="0" shapeId="0" xr:uid="{00000000-0006-0000-0300-000001000000}">
      <text>
        <r>
          <rPr>
            <b/>
            <sz val="9"/>
            <color indexed="81"/>
            <rFont val="Tahoma"/>
            <family val="2"/>
          </rPr>
          <t>Robinson, Solonge:</t>
        </r>
        <r>
          <rPr>
            <sz val="9"/>
            <color indexed="81"/>
            <rFont val="Tahoma"/>
            <family val="2"/>
          </rPr>
          <t xml:space="preserve">
Calculated on Compensatin detail tab </t>
        </r>
      </text>
    </comment>
    <comment ref="B134" authorId="0" shapeId="0" xr:uid="{00000000-0006-0000-0300-000002000000}">
      <text>
        <r>
          <rPr>
            <b/>
            <sz val="9"/>
            <color indexed="81"/>
            <rFont val="Tahoma"/>
            <family val="2"/>
          </rPr>
          <t>Robinson, Solonge:</t>
        </r>
        <r>
          <rPr>
            <sz val="9"/>
            <color indexed="81"/>
            <rFont val="Tahoma"/>
            <family val="2"/>
          </rPr>
          <t xml:space="preserve">
Information inputted in Compensation Detail tab</t>
        </r>
      </text>
    </comment>
    <comment ref="B180" authorId="0" shapeId="0" xr:uid="{00000000-0006-0000-0300-000003000000}">
      <text>
        <r>
          <rPr>
            <b/>
            <sz val="9"/>
            <color indexed="81"/>
            <rFont val="Tahoma"/>
            <family val="2"/>
          </rPr>
          <t>Robinson, Solonge:</t>
        </r>
        <r>
          <rPr>
            <sz val="9"/>
            <color indexed="81"/>
            <rFont val="Tahoma"/>
            <family val="2"/>
          </rPr>
          <t xml:space="preserve">
Information inputted on Compensation detail tab. </t>
        </r>
      </text>
    </comment>
    <comment ref="B306" authorId="0" shapeId="0" xr:uid="{00000000-0006-0000-0300-000004000000}">
      <text>
        <r>
          <rPr>
            <b/>
            <sz val="9"/>
            <color indexed="81"/>
            <rFont val="Tahoma"/>
            <family val="2"/>
          </rPr>
          <t>Robinson, Solonge:</t>
        </r>
        <r>
          <rPr>
            <sz val="9"/>
            <color indexed="81"/>
            <rFont val="Tahoma"/>
            <family val="2"/>
          </rPr>
          <t xml:space="preserve">
Information inputted on Compensation detail tab.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Robinson, Solonge</author>
  </authors>
  <commentList>
    <comment ref="G2" authorId="0" shapeId="0" xr:uid="{00000000-0006-0000-0400-000001000000}">
      <text>
        <r>
          <rPr>
            <b/>
            <sz val="9"/>
            <color indexed="81"/>
            <rFont val="Tahoma"/>
            <family val="2"/>
          </rPr>
          <t>Robinson, Solonge:</t>
        </r>
        <r>
          <rPr>
            <sz val="9"/>
            <color indexed="81"/>
            <rFont val="Tahoma"/>
            <family val="2"/>
          </rPr>
          <t xml:space="preserve">
Need to populate formula for all sections like Payroll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houtlaw</author>
  </authors>
  <commentList>
    <comment ref="O31" authorId="0" shapeId="0" xr:uid="{00000000-0006-0000-0500-000001000000}">
      <text>
        <r>
          <rPr>
            <b/>
            <sz val="9"/>
            <color indexed="81"/>
            <rFont val="Tahoma"/>
            <family val="2"/>
          </rPr>
          <t>houtlaw:</t>
        </r>
        <r>
          <rPr>
            <sz val="9"/>
            <color indexed="81"/>
            <rFont val="Tahoma"/>
            <family val="2"/>
          </rPr>
          <t xml:space="preserve">
</t>
        </r>
      </text>
    </comment>
    <comment ref="O33" authorId="0" shapeId="0" xr:uid="{00000000-0006-0000-0500-000002000000}">
      <text>
        <r>
          <rPr>
            <b/>
            <sz val="9"/>
            <color indexed="81"/>
            <rFont val="Tahoma"/>
            <family val="2"/>
          </rPr>
          <t>houtlaw:</t>
        </r>
        <r>
          <rPr>
            <sz val="9"/>
            <color indexed="81"/>
            <rFont val="Tahoma"/>
            <family val="2"/>
          </rPr>
          <t xml:space="preserve">
This expense should be reduced to $0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houtlaw</author>
  </authors>
  <commentList>
    <comment ref="M31" authorId="0" shapeId="0" xr:uid="{00000000-0006-0000-0800-000001000000}">
      <text>
        <r>
          <rPr>
            <b/>
            <sz val="9"/>
            <color indexed="81"/>
            <rFont val="Tahoma"/>
            <family val="2"/>
          </rPr>
          <t>houtlaw:</t>
        </r>
        <r>
          <rPr>
            <sz val="9"/>
            <color indexed="81"/>
            <rFont val="Tahoma"/>
            <family val="2"/>
          </rPr>
          <t xml:space="preserve">
</t>
        </r>
      </text>
    </comment>
    <comment ref="M33" authorId="0" shapeId="0" xr:uid="{00000000-0006-0000-0800-000002000000}">
      <text>
        <r>
          <rPr>
            <b/>
            <sz val="9"/>
            <color indexed="81"/>
            <rFont val="Tahoma"/>
            <family val="2"/>
          </rPr>
          <t>houtlaw:</t>
        </r>
        <r>
          <rPr>
            <sz val="9"/>
            <color indexed="81"/>
            <rFont val="Tahoma"/>
            <family val="2"/>
          </rPr>
          <t xml:space="preserve">
This expense should be reduced to $0</t>
        </r>
      </text>
    </comment>
  </commentList>
</comments>
</file>

<file path=xl/sharedStrings.xml><?xml version="1.0" encoding="utf-8"?>
<sst xmlns="http://schemas.openxmlformats.org/spreadsheetml/2006/main" count="1499" uniqueCount="743">
  <si>
    <t>ADMINISTRATIVE EXPENSES</t>
  </si>
  <si>
    <t xml:space="preserve">Office &amp; Admin. Salaries </t>
  </si>
  <si>
    <t>Managers' Salaries</t>
  </si>
  <si>
    <t>Office Expenses  (Supplies)</t>
  </si>
  <si>
    <t>Management Fee</t>
  </si>
  <si>
    <t>Bank Charges</t>
  </si>
  <si>
    <t>Audit / Accounting Expense</t>
  </si>
  <si>
    <t>Telephone</t>
  </si>
  <si>
    <t>Postage</t>
  </si>
  <si>
    <t>Advertising</t>
  </si>
  <si>
    <t>Total Administrative Expenses</t>
  </si>
  <si>
    <t>OPERATING EXPENSES</t>
  </si>
  <si>
    <t>Janitor's Payroll</t>
  </si>
  <si>
    <t>Janitor's Supplies</t>
  </si>
  <si>
    <t>Light Bulbs</t>
  </si>
  <si>
    <t>Veh. &amp; Equip. Operation Expense</t>
  </si>
  <si>
    <t>Exterminating</t>
  </si>
  <si>
    <t>Rubbish Removal</t>
  </si>
  <si>
    <t>Parking Area Expense</t>
  </si>
  <si>
    <t>Total Operating Expenses</t>
  </si>
  <si>
    <t>MAINTENANCE EXPENSES</t>
  </si>
  <si>
    <t>Maintenance Payroll</t>
  </si>
  <si>
    <t xml:space="preserve">Maintenance Supplies </t>
  </si>
  <si>
    <t>Carpet Cleaning</t>
  </si>
  <si>
    <t>Carpet Repair and Replacement</t>
  </si>
  <si>
    <t>Electrical Maint.</t>
  </si>
  <si>
    <t>Tree Trimming</t>
  </si>
  <si>
    <t xml:space="preserve">Landscaping </t>
  </si>
  <si>
    <t>Plumbing Maint.</t>
  </si>
  <si>
    <t>Structural Repairs</t>
  </si>
  <si>
    <t>Groundsman Snow Removal Crew</t>
  </si>
  <si>
    <t>Window Repair</t>
  </si>
  <si>
    <t>Uniforms</t>
  </si>
  <si>
    <t>Security Expense Alarm</t>
  </si>
  <si>
    <t>Floor Tile - Repair and Replacement</t>
  </si>
  <si>
    <t>Total Maintenance Expense</t>
  </si>
  <si>
    <t>UTILITY EXPENSE</t>
  </si>
  <si>
    <t>Fuel (Gas)</t>
  </si>
  <si>
    <t>Electricity</t>
  </si>
  <si>
    <t>Water &amp; Sewer</t>
  </si>
  <si>
    <t>Total Utility Expense</t>
  </si>
  <si>
    <t>Real Estate Taxes</t>
  </si>
  <si>
    <t>Payroll Taxes</t>
  </si>
  <si>
    <t>Property &amp; Liability Ins.</t>
  </si>
  <si>
    <t>Employee Group Insurance</t>
  </si>
  <si>
    <t>FICA Expense</t>
  </si>
  <si>
    <t>Worker's Compensation Ins.</t>
  </si>
  <si>
    <t>Fidelity Bond</t>
  </si>
  <si>
    <t>Replacement Reserve</t>
  </si>
  <si>
    <t>Painting and Decorating Reserve</t>
  </si>
  <si>
    <t>TOTAL EXPENSES</t>
  </si>
  <si>
    <t>Ground Supplies (Salt)</t>
  </si>
  <si>
    <t>Assessment Fees</t>
  </si>
  <si>
    <t>OPEN</t>
  </si>
  <si>
    <t>TOTAL CHA UNITS:</t>
  </si>
  <si>
    <t>Interest on Debt Service</t>
  </si>
  <si>
    <t>SUBSIDY RATE:</t>
  </si>
  <si>
    <t>EXPENSES:</t>
  </si>
  <si>
    <t>NET OPERATING INCOME (NOI)</t>
  </si>
  <si>
    <t>TOTAL PER UNIT EXPENSE</t>
  </si>
  <si>
    <t>RESERVES</t>
  </si>
  <si>
    <t>Total Reserve Funding</t>
  </si>
  <si>
    <t>NOI AFTER RESERVES</t>
  </si>
  <si>
    <t xml:space="preserve">Total Insurance &amp; Taxes </t>
  </si>
  <si>
    <t xml:space="preserve"> INSURANCE AND TAXES</t>
  </si>
  <si>
    <t>Vending Income</t>
  </si>
  <si>
    <t>Interest Income</t>
  </si>
  <si>
    <t>Legal Expense- Eviction</t>
  </si>
  <si>
    <t>Legal Expense- Other</t>
  </si>
  <si>
    <t>HVAC Maintenance</t>
  </si>
  <si>
    <t>HVAC Supplies</t>
  </si>
  <si>
    <t>Tenant Rent Reserve Deposit</t>
  </si>
  <si>
    <t>Bookkeeping and Computer Fees</t>
  </si>
  <si>
    <t>Credit Check &amp; Drug Test Expense</t>
  </si>
  <si>
    <t>Travel Expenses</t>
  </si>
  <si>
    <t>Staff Training</t>
  </si>
  <si>
    <t>Appliance Repair/Replacement</t>
  </si>
  <si>
    <t>CHA Subsidy Income</t>
  </si>
  <si>
    <t xml:space="preserve">TOTAL DEVELOPMENT UNITS: </t>
  </si>
  <si>
    <t>TOTAL REVENUE</t>
  </si>
  <si>
    <t>2nd Qtr Budget</t>
  </si>
  <si>
    <t>3rd Qtr Budget</t>
  </si>
  <si>
    <t>4th Qtr Budget</t>
  </si>
  <si>
    <t>Tenant Rental Income</t>
  </si>
  <si>
    <t>Resident Charges - Late Charges</t>
  </si>
  <si>
    <t>Office Contracts (Computer)</t>
  </si>
  <si>
    <t>Social Programming (payroll)</t>
  </si>
  <si>
    <t>Social Programming (materials)</t>
  </si>
  <si>
    <t>Social Programming (Contracts)</t>
  </si>
  <si>
    <t>account #</t>
  </si>
  <si>
    <t>Bad Debt/Collection Loss</t>
  </si>
  <si>
    <t>Resident Charges - Repairs</t>
  </si>
  <si>
    <t>Resident Charges - Replacement</t>
  </si>
  <si>
    <t>Painting &amp; Dec (Labor &amp; Materials)</t>
  </si>
  <si>
    <t>Office Rent/Utilities</t>
  </si>
  <si>
    <t>Line 20</t>
  </si>
  <si>
    <t>Line 49</t>
  </si>
  <si>
    <t>Line 68</t>
  </si>
  <si>
    <t>Line 100</t>
  </si>
  <si>
    <t>Line 115</t>
  </si>
  <si>
    <t>Line 135</t>
  </si>
  <si>
    <t>Line 137</t>
  </si>
  <si>
    <t>Line 139</t>
  </si>
  <si>
    <t>Tax Credit Monitoring Fee</t>
  </si>
  <si>
    <t>Asset Management Fee</t>
  </si>
  <si>
    <t>Employee Benefits - Union</t>
  </si>
  <si>
    <t>Exterior Maintenance and Repair</t>
  </si>
  <si>
    <t>Office Contracts(Printing)</t>
  </si>
  <si>
    <t>Laundry Expense</t>
  </si>
  <si>
    <t>Staff Units</t>
  </si>
  <si>
    <t>Permits and License Fees</t>
  </si>
  <si>
    <t>Mechanical Engineer</t>
  </si>
  <si>
    <t>Elevator</t>
  </si>
  <si>
    <t>Ord. Maint/Contract Maintenance</t>
  </si>
  <si>
    <t>Management Fee (Acq. Units)</t>
  </si>
  <si>
    <t>Other Income</t>
  </si>
  <si>
    <t>Justification</t>
  </si>
  <si>
    <t>Contract
Description</t>
  </si>
  <si>
    <t>Vendor
Name</t>
  </si>
  <si>
    <t>Qty</t>
  </si>
  <si>
    <t>Unit
Cost</t>
  </si>
  <si>
    <t>Total
Cost</t>
  </si>
  <si>
    <t>When to
Purchase</t>
  </si>
  <si>
    <t>Administrative Expenses</t>
  </si>
  <si>
    <t>Increase
Date</t>
  </si>
  <si>
    <t>Operating Expenses</t>
  </si>
  <si>
    <t>Total Cost</t>
  </si>
  <si>
    <t>Maintenance Expenses</t>
  </si>
  <si>
    <t>Administrative</t>
  </si>
  <si>
    <t>Name</t>
  </si>
  <si>
    <t>Title</t>
  </si>
  <si>
    <t>Rate</t>
  </si>
  <si>
    <t>% CHA</t>
  </si>
  <si>
    <t>$ amt.
of CHA</t>
  </si>
  <si>
    <t>Taxes</t>
  </si>
  <si>
    <t>Employee
Certifications</t>
  </si>
  <si>
    <t>Operating</t>
  </si>
  <si>
    <t>Maintenance</t>
  </si>
  <si>
    <t>Grand Total</t>
  </si>
  <si>
    <t>Source
Of Funds</t>
  </si>
  <si>
    <t>Actual YTD FY 2009</t>
  </si>
  <si>
    <t>CHA Monthly COST PER UNIT</t>
  </si>
  <si>
    <t>TOTAL Development Operating BUDGET</t>
  </si>
  <si>
    <t>Development Operating COST PER UNIT</t>
  </si>
  <si>
    <t>CHA Percentage of Total Budget</t>
  </si>
  <si>
    <t>Max Increase</t>
  </si>
  <si>
    <t>Asset Manager______________________________________________________________________</t>
  </si>
  <si>
    <t>Director of A.M_______________________________________________________________________</t>
  </si>
  <si>
    <t>SVP of Mixed Finance ________________________________________________________________</t>
  </si>
  <si>
    <t>TRR</t>
  </si>
  <si>
    <t>EPU</t>
  </si>
  <si>
    <t>RR</t>
  </si>
  <si>
    <t>PDR</t>
  </si>
  <si>
    <t>TRF</t>
  </si>
  <si>
    <t>NOI</t>
  </si>
  <si>
    <t>FY 2011 1st Qtr Budget</t>
  </si>
  <si>
    <t>Development No</t>
  </si>
  <si>
    <t>Property Name</t>
  </si>
  <si>
    <t>Langston (Taylor Off-Site 1)</t>
  </si>
  <si>
    <t>Chart of Account Codes</t>
  </si>
  <si>
    <t>CHICAGO HOUSING AUTHORITY</t>
  </si>
  <si>
    <t>Facility Name:</t>
  </si>
  <si>
    <t>AMP Number</t>
  </si>
  <si>
    <t>.ag121</t>
  </si>
  <si>
    <t>Sub-Project</t>
  </si>
  <si>
    <t>subp</t>
  </si>
  <si>
    <t>Dev Number</t>
  </si>
  <si>
    <t>.dv</t>
  </si>
  <si>
    <t>Account</t>
  </si>
  <si>
    <t>Fund</t>
  </si>
  <si>
    <t>CC</t>
  </si>
  <si>
    <t>PRJ</t>
  </si>
  <si>
    <t>Description</t>
  </si>
  <si>
    <t>REVENUES</t>
  </si>
  <si>
    <t>000</t>
  </si>
  <si>
    <t>Dwelling Rental</t>
  </si>
  <si>
    <t>Other Income- Tenant Sales &amp; Services</t>
  </si>
  <si>
    <t>Total Revenue</t>
  </si>
  <si>
    <t>4100-Administrative Expenses</t>
  </si>
  <si>
    <t>Admin.Sal- Non-Technical Regul</t>
  </si>
  <si>
    <t>Admin.Sal- Non-Technical Overtime</t>
  </si>
  <si>
    <t xml:space="preserve"> Legal Exp-Outside Counsel/Retainer</t>
  </si>
  <si>
    <t>Training-Staff</t>
  </si>
  <si>
    <t>Travel Reimbursement</t>
  </si>
  <si>
    <t xml:space="preserve"> Accounting &amp; Auditing Costs</t>
  </si>
  <si>
    <t>Sundries-Stationary &amp; Office Supplies</t>
  </si>
  <si>
    <t>Sundry-Printing &amp; Duplication</t>
  </si>
  <si>
    <t>Sundry - Office Equipment Non-Capitalized</t>
  </si>
  <si>
    <t>Sundry-Rental Of Office Equipment</t>
  </si>
  <si>
    <t>Sundry-Postage &amp; Carrier Expense</t>
  </si>
  <si>
    <t>Sundry-Computer Expenses</t>
  </si>
  <si>
    <t>Sundry-Telephone &amp; Telegraph</t>
  </si>
  <si>
    <t>Sundry-Office Rent</t>
  </si>
  <si>
    <t>Administrative Sundry-Advertising Cost</t>
  </si>
  <si>
    <t>Administrative Sundry-Meeting Cost</t>
  </si>
  <si>
    <t>Administrative Sundry-Parking</t>
  </si>
  <si>
    <t>Sundry-Furniture(Purchases Up t0 $4,999)</t>
  </si>
  <si>
    <t>Tax Credit Monitoring (Mixed-Income Only)</t>
  </si>
  <si>
    <t>Asset Management Fee (Mixed-Income Only)</t>
  </si>
  <si>
    <t>Bookkeeping Fee (Mixed-Income Only)</t>
  </si>
  <si>
    <t>Property Management Fee</t>
  </si>
  <si>
    <t>Total- Administrative Expenses</t>
  </si>
  <si>
    <t>4200-Tenant Services</t>
  </si>
  <si>
    <t>T/Services-Regular Pay</t>
  </si>
  <si>
    <t>T/Services-Materials</t>
  </si>
  <si>
    <t>001</t>
  </si>
  <si>
    <t>T/Services-Contracts</t>
  </si>
  <si>
    <t>Total - Tenant Services</t>
  </si>
  <si>
    <t>4300-Utilities</t>
  </si>
  <si>
    <t>Utilit.Expense-Water</t>
  </si>
  <si>
    <t>Utilit.Expense-Sewerage</t>
  </si>
  <si>
    <t>Utilit.Expense-Electric</t>
  </si>
  <si>
    <t>Utilit.Expense-Gas</t>
  </si>
  <si>
    <t xml:space="preserve">Utilit.Expense-Labor </t>
  </si>
  <si>
    <t>Utilit.Expense-Labor OT</t>
  </si>
  <si>
    <t>Utilit.Exp-Chief Engineer-Regular Pay</t>
  </si>
  <si>
    <t xml:space="preserve"> Utilit.Exp-Engineer-Regular Pay</t>
  </si>
  <si>
    <t>Utilit.Exp-Chief Engineer-Overtime</t>
  </si>
  <si>
    <t>Utilit.Exp-Engineer-Overtime</t>
  </si>
  <si>
    <t>Total - Utilities</t>
  </si>
  <si>
    <t>4400-Ordinary Maintenance</t>
  </si>
  <si>
    <t>Ord.Maint-Janitor-Regular Pay</t>
  </si>
  <si>
    <t>Ord.Maint.-Supervisory-Regular</t>
  </si>
  <si>
    <t xml:space="preserve"> Ord.Maint- Electrician-Regular Pay</t>
  </si>
  <si>
    <t>Ord.Maint- Maintenance Mechanic</t>
  </si>
  <si>
    <t>Ord.Maint-Janitor-Overtime Pay</t>
  </si>
  <si>
    <t>Ord.Maint-Supervisory Overtime Pay</t>
  </si>
  <si>
    <t xml:space="preserve"> Ord.Maint- Maintenance Mechanic-Overtime</t>
  </si>
  <si>
    <t>Ord. Maintenance Materials</t>
  </si>
  <si>
    <t>Ord.Maint.Mat-Janitorial Hardware</t>
  </si>
  <si>
    <t xml:space="preserve"> Ord.Maint Mat-Glazing</t>
  </si>
  <si>
    <t>Ord.Maint Mat-Carpentry</t>
  </si>
  <si>
    <t>Ord.Maint Mat-Electrical</t>
  </si>
  <si>
    <t xml:space="preserve"> Ord.Maint Mat-Heating</t>
  </si>
  <si>
    <t>Ord.Maint Mat-Plumbing</t>
  </si>
  <si>
    <t>Ord.Maint Mat-Tiling</t>
  </si>
  <si>
    <t>Ord.Maint Mat-Painting</t>
  </si>
  <si>
    <t>Ord.Maint Mat-Appliances</t>
  </si>
  <si>
    <t xml:space="preserve"> Ord.Maint.Contr-Elevator Service</t>
  </si>
  <si>
    <t>Ord.Maint.Contr-On Call Service</t>
  </si>
  <si>
    <t xml:space="preserve"> Ord.Maint.Contr-Scavenger</t>
  </si>
  <si>
    <t>Ord.Maint.Contr-Catch Basin Cleaning</t>
  </si>
  <si>
    <t>Ord.Maint.Contr-Vehicle Expense</t>
  </si>
  <si>
    <t>Ord.Maint.Contr-Pagers &amp; Cellular Phones</t>
  </si>
  <si>
    <t>Ord.Maint.Contr-Lawn care &amp; Landscaping</t>
  </si>
  <si>
    <t>Ord.Maint.Contr-Snow Removal</t>
  </si>
  <si>
    <t>Ord.Maint.Contr-Extermination</t>
  </si>
  <si>
    <t>Ord.Maint.Cont-Gutters &amp; Downs</t>
  </si>
  <si>
    <t xml:space="preserve"> Ord.Maint.Contr-Plastering &amp; Painting</t>
  </si>
  <si>
    <t xml:space="preserve"> Ord.Maint.Contr-Carpentry</t>
  </si>
  <si>
    <t>Ord.Maint.Contr-Electrical</t>
  </si>
  <si>
    <t>Ord.Maint.Contr-Heating</t>
  </si>
  <si>
    <t>Ord.Maint.Contr-Plumbing</t>
  </si>
  <si>
    <t>Ord.Maint.Contr-Tuckpointing &amp; Roofing</t>
  </si>
  <si>
    <t>Ord.Maint.Contr-Uniform Rental</t>
  </si>
  <si>
    <t>Ord.Maint.Contr-Maintenance</t>
  </si>
  <si>
    <t>Ord. Maint.-Structural Repairs (non capitalized)</t>
  </si>
  <si>
    <t>Ord.Maint.Contr-Carpet Replacement (Mixed-Income Use Only)</t>
  </si>
  <si>
    <t>Ord.Maint Cost - Assessments  Fees (Mixed-Income Use Only)</t>
  </si>
  <si>
    <t>Ord.Maint.Contr-Glazing</t>
  </si>
  <si>
    <t>Total - Ordinary Maintenance</t>
  </si>
  <si>
    <t>4470-Protective Services</t>
  </si>
  <si>
    <t>Protective Services-Materials</t>
  </si>
  <si>
    <t>Protective Services-Contracts</t>
  </si>
  <si>
    <t>Total - Protective Services</t>
  </si>
  <si>
    <t>4500-General Expense</t>
  </si>
  <si>
    <t>Gen.Liab./Auto Premium (Traditional Portfolio Only)</t>
  </si>
  <si>
    <t>Real Estate Taxes (Mixed Income Use Only)</t>
  </si>
  <si>
    <t>Empl.Benefits-Fica</t>
  </si>
  <si>
    <t>Empl.Benefit-Union Fringe/Administration</t>
  </si>
  <si>
    <t>Empl.Benefits-Unemployment Ins</t>
  </si>
  <si>
    <t>Empl.Benefit-Grp.Life Insurance</t>
  </si>
  <si>
    <t>Empl.Benfts-Un.Frng-Engineers</t>
  </si>
  <si>
    <t>Empl.Benfts-Un.Frng-Janitors</t>
  </si>
  <si>
    <t>Empl.Benfts-Un.Frng-Electrician</t>
  </si>
  <si>
    <t>Empl.Benfts-Un.Frng-Maintenance Mechanics</t>
  </si>
  <si>
    <t>Empl.Benft-Medical.Health Insurance</t>
  </si>
  <si>
    <t>Empl.Benft-Dental Insurance</t>
  </si>
  <si>
    <t>Property &amp; Liability Insurance (Mixed-Income Use Only)</t>
  </si>
  <si>
    <t>Fidelity Bond (Mixed-Income Use Only)</t>
  </si>
  <si>
    <t>Interest on Debt Service (Mixed-Income Use Only)</t>
  </si>
  <si>
    <t>General Expense-Collection Loss</t>
  </si>
  <si>
    <t>Total - General Expense</t>
  </si>
  <si>
    <t>4600-Extraordinary Maintenance</t>
  </si>
  <si>
    <t>Extra-Ord Maint-Contract Cost</t>
  </si>
  <si>
    <t>Total - Extraordinary Maintenance</t>
  </si>
  <si>
    <t>TOTAL OPERATING EXPENSES</t>
  </si>
  <si>
    <t>Net Operating Income/(Expense)</t>
  </si>
  <si>
    <t>Replacement Reserves</t>
  </si>
  <si>
    <t>FY 2011</t>
  </si>
  <si>
    <t>2011 Operating Budget</t>
  </si>
  <si>
    <t>Sundry-Other (credit checks, bank charges, permits and license fees)</t>
  </si>
  <si>
    <t>Actual YTD FY 2008</t>
  </si>
  <si>
    <t>Maintenance Rent Free Unit</t>
  </si>
  <si>
    <t>Auto Insurance</t>
  </si>
  <si>
    <t>Locksmith Services, Locks and Keys</t>
  </si>
  <si>
    <t>Actual YTD FY 2010</t>
  </si>
  <si>
    <t>Annual CHA Budget 2012</t>
  </si>
  <si>
    <t>Section</t>
  </si>
  <si>
    <t>Total Vending Income</t>
  </si>
  <si>
    <t>Total Interest Income</t>
  </si>
  <si>
    <t>Total Tenant Rental Income</t>
  </si>
  <si>
    <t>Total Other Income</t>
  </si>
  <si>
    <t>Total Office Expenses  (Supplies)</t>
  </si>
  <si>
    <t>Total Office Contracts (Computer)</t>
  </si>
  <si>
    <t>Total Management Fee</t>
  </si>
  <si>
    <t>Total Social Programming (materials)</t>
  </si>
  <si>
    <t>Total Social Programming (Contracts)</t>
  </si>
  <si>
    <t>Total Bank Charges</t>
  </si>
  <si>
    <t>Total Legal Expense- Other</t>
  </si>
  <si>
    <t>Total Legal Expense- Eviction</t>
  </si>
  <si>
    <t>Total Audit / Accounting Expense</t>
  </si>
  <si>
    <t>Total Bookkeeping and Computer Fees</t>
  </si>
  <si>
    <t>Total Postage</t>
  </si>
  <si>
    <t>Total Credit Check &amp; Drug Test Expense</t>
  </si>
  <si>
    <t>Total Tax Credit Monitoring Fee</t>
  </si>
  <si>
    <t>Total Permits and License Fees</t>
  </si>
  <si>
    <t>Total Janitor's Supplies</t>
  </si>
  <si>
    <t>Total Light Bulbs</t>
  </si>
  <si>
    <t>Total Veh. &amp; Equip. Operation Expense</t>
  </si>
  <si>
    <t>Total Exterminating</t>
  </si>
  <si>
    <t>Total Rubbish Removal</t>
  </si>
  <si>
    <t>Total Parking Area Expense</t>
  </si>
  <si>
    <t>Maintenance Supplies</t>
  </si>
  <si>
    <t>Total Ground Supplies (Salt)</t>
  </si>
  <si>
    <t>Total Painting &amp; Dec (Labor &amp; Materials)</t>
  </si>
  <si>
    <t>Total Carpet Cleaning</t>
  </si>
  <si>
    <t>Total Carpet Repair and Replacement</t>
  </si>
  <si>
    <t>Total Electrical Maint.</t>
  </si>
  <si>
    <t>Total Tree Trimming</t>
  </si>
  <si>
    <t xml:space="preserve">Total Landscaping </t>
  </si>
  <si>
    <t>Total Structural Repairs</t>
  </si>
  <si>
    <t>Total Groundsman Snow Removal Crew</t>
  </si>
  <si>
    <t>Total Appliance Repair/Replacement</t>
  </si>
  <si>
    <t>Total Exterior Maintenance and Repair</t>
  </si>
  <si>
    <t>Total Window Repair</t>
  </si>
  <si>
    <t>Total Uniforms</t>
  </si>
  <si>
    <t>Total Security Expense Alarm</t>
  </si>
  <si>
    <t>Total HVAC Maintenance</t>
  </si>
  <si>
    <t>Total HVAC Supplies</t>
  </si>
  <si>
    <t xml:space="preserve">Total Office &amp; Admin. Salaries </t>
  </si>
  <si>
    <t>Total Managers' Salaries</t>
  </si>
  <si>
    <t>Total Social Programming (payroll)</t>
  </si>
  <si>
    <t>Total Janitor's Payroll</t>
  </si>
  <si>
    <t>Total Maintenance Payroll</t>
  </si>
  <si>
    <t>Other Income/ Cell Phone Tower</t>
  </si>
  <si>
    <t xml:space="preserve"> </t>
  </si>
  <si>
    <t>M</t>
  </si>
  <si>
    <t>MC</t>
  </si>
  <si>
    <t>Property name</t>
  </si>
  <si>
    <t>Total developmental units</t>
  </si>
  <si>
    <t>Total CHA units</t>
  </si>
  <si>
    <t>Subsidy rates 2010</t>
  </si>
  <si>
    <t>Subsidy rates 2011</t>
  </si>
  <si>
    <t>Firm name</t>
  </si>
  <si>
    <t>Subsidy rates 2009</t>
  </si>
  <si>
    <t>Interstate Realty and Management</t>
  </si>
  <si>
    <t>Westhaven Park II B</t>
  </si>
  <si>
    <t>REVENUE</t>
  </si>
  <si>
    <t>Apartment Rental</t>
  </si>
  <si>
    <t>Operating subsidy revenue-HAP</t>
  </si>
  <si>
    <t>Vacancy Loss</t>
  </si>
  <si>
    <t>Rent Free Apartments</t>
  </si>
  <si>
    <t>Net Rental Revenue</t>
  </si>
  <si>
    <t>Other Revenue</t>
  </si>
  <si>
    <t>Interest on Mortgage Escrow Accounts</t>
  </si>
  <si>
    <t>Other Interest</t>
  </si>
  <si>
    <t>Laundry</t>
  </si>
  <si>
    <t>Tenant Charges</t>
  </si>
  <si>
    <t xml:space="preserve">  Vending Charges</t>
  </si>
  <si>
    <t xml:space="preserve">  Lock Change Fee</t>
  </si>
  <si>
    <t xml:space="preserve">  Door Openning Fee</t>
  </si>
  <si>
    <t>Excess Real Estate Taxes Prior Year</t>
  </si>
  <si>
    <t>Total Other Revenue</t>
  </si>
  <si>
    <t>Admin staff payroll</t>
  </si>
  <si>
    <t>Answering service</t>
  </si>
  <si>
    <t>Audit Expense</t>
  </si>
  <si>
    <t>Bad debts</t>
  </si>
  <si>
    <t>Bank charges</t>
  </si>
  <si>
    <t>Bookkeeping and computer fees</t>
  </si>
  <si>
    <t>Credit reports</t>
  </si>
  <si>
    <t>Evictions costs</t>
  </si>
  <si>
    <t>Inspection Fees</t>
  </si>
  <si>
    <t>Legal</t>
  </si>
  <si>
    <t>Management Fees</t>
  </si>
  <si>
    <t>Manager's payroll</t>
  </si>
  <si>
    <t>Marketing/Leasing Expenses (Drug/Credit Ck)</t>
  </si>
  <si>
    <t>Miscellaneous Administrative</t>
  </si>
  <si>
    <t>Office equipment rental</t>
  </si>
  <si>
    <t>Office expense</t>
  </si>
  <si>
    <t>Office Supplies</t>
  </si>
  <si>
    <t>Other Renting Expense</t>
  </si>
  <si>
    <t>Postage and shipping</t>
  </si>
  <si>
    <t>Professional Fees</t>
  </si>
  <si>
    <t>Social Services payroll</t>
  </si>
  <si>
    <t>Social Services supplies</t>
  </si>
  <si>
    <t>Training</t>
  </si>
  <si>
    <t>Travel</t>
  </si>
  <si>
    <t>OPERATING and MAINTENANCE EXPENSE</t>
  </si>
  <si>
    <t>Appliance Repair</t>
  </si>
  <si>
    <t>Common Area Maintenance</t>
  </si>
  <si>
    <t>Contract cost</t>
  </si>
  <si>
    <t>Electrical</t>
  </si>
  <si>
    <t>Exterior</t>
  </si>
  <si>
    <t>Fire Safety Inspections</t>
  </si>
  <si>
    <t>Janitoral Payroll</t>
  </si>
  <si>
    <t>Janitoral Supplies</t>
  </si>
  <si>
    <t>Landscaping/Grounds</t>
  </si>
  <si>
    <t>Misc cost/Other(uninsured Loss on fire)</t>
  </si>
  <si>
    <t>Painting and Decorating</t>
  </si>
  <si>
    <t>Repairs and Maintenance</t>
  </si>
  <si>
    <t>Repairs, Carpentry</t>
  </si>
  <si>
    <t>Repairs, Carpeting (tiling, floors)</t>
  </si>
  <si>
    <t xml:space="preserve">Repairs, HVAC </t>
  </si>
  <si>
    <t>Repairs, Plumbing</t>
  </si>
  <si>
    <t>Security contract</t>
  </si>
  <si>
    <t>Small Tools</t>
  </si>
  <si>
    <t>Snow Removal</t>
  </si>
  <si>
    <t>Structural</t>
  </si>
  <si>
    <t>Vehicle Repair</t>
  </si>
  <si>
    <t>Total Operating and Maintenance Expense</t>
  </si>
  <si>
    <t>Gas</t>
  </si>
  <si>
    <t>Public Housing Utility Reimbursments</t>
  </si>
  <si>
    <t>TAXES AND INSURANCE EXPENSES</t>
  </si>
  <si>
    <t>Employee Benefits</t>
  </si>
  <si>
    <t>Health Insurance</t>
  </si>
  <si>
    <t>Property and Liability Insurance</t>
  </si>
  <si>
    <t>Workers' Compensation Insurance</t>
  </si>
  <si>
    <t>Total Taxes and Insurance Expenses</t>
  </si>
  <si>
    <t>Net Operating Income (Loss) before financing</t>
  </si>
  <si>
    <t>Expenses, Entity Expenses, Dep &amp; Amort</t>
  </si>
  <si>
    <t>FINANCING EXPENSE</t>
  </si>
  <si>
    <t>Asset Management Fees</t>
  </si>
  <si>
    <t>Mortgage Interest - first mortgage</t>
  </si>
  <si>
    <t>Mortgage Interest - second mortgage</t>
  </si>
  <si>
    <t>Mortgage Interest - third mortgage</t>
  </si>
  <si>
    <t>Mortgage Insurance Premium</t>
  </si>
  <si>
    <t>Partnership Management Fee</t>
  </si>
  <si>
    <t>Reserve for Replacement Funding</t>
  </si>
  <si>
    <t>Service Charge - IHDA</t>
  </si>
  <si>
    <t>Total Financing Expense</t>
  </si>
  <si>
    <t>Net Income (Loss) Before Deprec &amp; Amort</t>
  </si>
  <si>
    <t>OTHER EXPENSES</t>
  </si>
  <si>
    <t>Depreciation and amortization</t>
  </si>
  <si>
    <t>Interest expense</t>
  </si>
  <si>
    <t>Entity expense</t>
  </si>
  <si>
    <t>Total Other Expenses</t>
  </si>
  <si>
    <t>Impairment Loss</t>
  </si>
  <si>
    <t>NET INCOME/(LOSS)</t>
  </si>
  <si>
    <t>ADJUSTMENTS</t>
  </si>
  <si>
    <t>Compliance Sanctions Levied</t>
  </si>
  <si>
    <t>Public Housing Rents Received</t>
  </si>
  <si>
    <t>Quarterly Advances Received</t>
  </si>
  <si>
    <t>Replacement Reserves Quarterly Draws</t>
  </si>
  <si>
    <t>Subsidy Carryover Reserve Draws</t>
  </si>
  <si>
    <t>Total Adjustments</t>
  </si>
  <si>
    <t>NET INCOME/(LOSS) PHA UNITS</t>
  </si>
  <si>
    <t>PHA INCOME(LOSS) RECONCILIATION:</t>
  </si>
  <si>
    <t>DUE from/(to) PHA tenant rent reserve</t>
  </si>
  <si>
    <t>Miscellaneous/ Inspection fees</t>
  </si>
  <si>
    <t>Actual YTD FY 2011</t>
  </si>
  <si>
    <t>Asset Manager____________________________________</t>
  </si>
  <si>
    <t>Director of A.M____________________________________</t>
  </si>
  <si>
    <t>SVP of Mixed Finance_________________________________</t>
  </si>
  <si>
    <t>Annual CHA Budget 2014</t>
  </si>
  <si>
    <t xml:space="preserve"> Actual FY 2012</t>
  </si>
  <si>
    <t>TRR balance 12-31-2012</t>
  </si>
  <si>
    <t>Balance TRR Decemeber 31, 2010</t>
  </si>
  <si>
    <t>Site had a few large issues with broken or clogged pipes. Also had about $3500 in hydro cleaning of traps. The rest was all minor repair jobs that occurred during the year.</t>
  </si>
  <si>
    <t>$21,069 was for capital carpet replacement and was requested to be reimbursed through the Reserve account.  The remaining $1352 was for general small carpet repairs.</t>
  </si>
  <si>
    <t>I believe this expense is usually under structural repairs, however there is not that much budgeted in that account.</t>
  </si>
  <si>
    <t>The property had a lot of turnovers and evictions during the year.</t>
  </si>
  <si>
    <t>The tenant should provide a repayment portion.</t>
  </si>
  <si>
    <t>Additional landscaping costs beyond the budget is for fixing the  sites irrigation and sprinkler system.</t>
  </si>
  <si>
    <t>$11,498 of this expense was for the installation of the Heat Tracers which were reimbursed by the ACC units through a special True-up. Another $3,112 was for ADT to upgrade the security camera locations at the site. This work was contracted through our development dept. but paid from site operations. The remaining expenses are generally repairs of fencing, roof, etc.</t>
  </si>
  <si>
    <t>Not sure why we have nothing budgeted here. We have incurred expenses for this account for many years.</t>
  </si>
  <si>
    <t>Cleaning Expense</t>
  </si>
  <si>
    <t>The site had a lot of minor repair jobs throughout the year. The reserve accounts are starting to run low, so we are unable to purchase new appliances all the time. We did have $2,608 worth of capital purchases that were reimbursed through the reserves.</t>
  </si>
  <si>
    <t>This expense should not have been included on the PHA side. Please deduct the $1195 allocated to PHA.</t>
  </si>
  <si>
    <t>Software License Expense</t>
  </si>
  <si>
    <t>Per asset management the expense is reasonable</t>
  </si>
  <si>
    <t>This expense should not have been included on the PHA side. Please deduct the $331 allocated to PHA.</t>
  </si>
  <si>
    <t>Cable TV/Internet Expense</t>
  </si>
  <si>
    <t>Collection Expense</t>
  </si>
  <si>
    <t>Total computer fees that are to be split with ACC units should be $3602. With the allocation that would make the ACC portion due during true-up $1981. The reimbursement request for this expense s/b lowered from $3,080 to $1,981</t>
  </si>
  <si>
    <t>Units</t>
  </si>
  <si>
    <t>PHA%</t>
  </si>
  <si>
    <t>PHA</t>
  </si>
  <si>
    <t>TOTAL</t>
  </si>
  <si>
    <t>CHA Allowable</t>
  </si>
  <si>
    <t>Audit 2012</t>
  </si>
  <si>
    <t>CY 2012 Budget</t>
  </si>
  <si>
    <t>CY 2011 Audit</t>
  </si>
  <si>
    <t>CY 2010 Audit</t>
  </si>
  <si>
    <t>CY 2009 Audit</t>
  </si>
  <si>
    <t>CY 2008 Audit</t>
  </si>
  <si>
    <r>
      <rPr>
        <sz val="14"/>
        <color indexed="10"/>
        <rFont val="Cambria"/>
        <family val="1"/>
      </rPr>
      <t>Westhaven IIB</t>
    </r>
    <r>
      <rPr>
        <sz val="14"/>
        <color indexed="8"/>
        <rFont val="Cambria"/>
        <family val="1"/>
      </rPr>
      <t xml:space="preserve"> 2012 Audit Reconciliation</t>
    </r>
  </si>
  <si>
    <t>CY 2012 Audit</t>
  </si>
  <si>
    <t>Legal Other</t>
  </si>
  <si>
    <t>Carpet repair and replacement</t>
  </si>
  <si>
    <t>Litigation Settlement</t>
  </si>
  <si>
    <t>Taxes Other</t>
  </si>
  <si>
    <t>Annual CHA Budget 2015</t>
  </si>
  <si>
    <t>2014B to 2015B Percentage Variance</t>
  </si>
  <si>
    <t>CHA FY 2015 BUDGET</t>
  </si>
  <si>
    <t>Actual CHA 2013</t>
  </si>
  <si>
    <t>44.9% increase in Bank Charges. 12 @ 100</t>
  </si>
  <si>
    <t>25.4% increase in Credit Check &amp; Drug Test Expense. Please explain. See detail tab</t>
  </si>
  <si>
    <t>121.3% increase in Plumbing Maint.. Please explain. See detail tab</t>
  </si>
  <si>
    <t>6.9% increase in Managers' Salaries. Please explain.</t>
  </si>
  <si>
    <t>16% increase in Management Fee. Please explain.</t>
  </si>
  <si>
    <t>8.8% increase in Audit / Accounting Expense. Please explain.</t>
  </si>
  <si>
    <t>37.4% increase in Telephone. Please explain.</t>
  </si>
  <si>
    <t>10% increase in Travel Expenses. Please explain.</t>
  </si>
  <si>
    <t>10% increase in Staff Training. Please explain.</t>
  </si>
  <si>
    <t>52.4% increase in Tax Credit Monitoring Fee. Please explain.</t>
  </si>
  <si>
    <t>What does this expense cover and why not capitalize? Please update either the line item or capital tab with more detail</t>
  </si>
  <si>
    <t>Please provide units and appliances that support the budget of 2,750. List the detail on the line item explanations tab</t>
  </si>
  <si>
    <t>What does this open category represent. Please re-categorize to proper line items</t>
  </si>
  <si>
    <t>CHA questions</t>
  </si>
  <si>
    <t>Firms response</t>
  </si>
  <si>
    <t>Please decrease overall deficit. TRR doesn’t cover the total deficit of $147,790. See lines 142 and 151</t>
  </si>
  <si>
    <t>Corrected Gross ACC rents to $120K. Reduced overall deficit to under $120k per request</t>
  </si>
  <si>
    <t>This is more for small roof repairs, leaks, things of that nature. Not major repairs that would be considered a capital expense.</t>
  </si>
  <si>
    <t>Site Manager should be split with another property. Will update line item tab to show proper cost.</t>
  </si>
  <si>
    <t>Audit firm increased rates for first time in 5 years.</t>
  </si>
  <si>
    <t>Increase is due to new Nextel billing for walkie/talkie phones for Maintenance dept. to better help them cover maint. Issues for residents at the site.</t>
  </si>
  <si>
    <t>Proposed fee increase to 5% of imputed rents for ACC units. I believe this was agreed upon with Cheryl Cooper and Louise Dooley</t>
  </si>
  <si>
    <t>Increased fees for banking related charges. We have very little control for these types of costs.</t>
  </si>
  <si>
    <t>Budget was overestimated due to new personnel we thought would need training. That person didn't stay with company. Will adjust this line item.</t>
  </si>
  <si>
    <t>This is for the fire prevention requirements imposed by the City. Yearly inspections of fire extinguishers, sprinkler systems.</t>
  </si>
  <si>
    <t>Moved to Ord. Maint/Contract Maint line above</t>
  </si>
  <si>
    <t>Increase is due to Qtrly grease trap flushing as preventative maint. To help prevent back-ups, overflows, etc.</t>
  </si>
  <si>
    <t>Reduced budget to help to help reduce total deficit</t>
  </si>
  <si>
    <t>This is for replacement of refrigerators, ranges, washers, etc. that occur during the year. We don't know ahead of time what specific units might have need for new appliances. Will break down costs of possible items on line tab.</t>
  </si>
  <si>
    <r>
      <rPr>
        <sz val="14"/>
        <color indexed="10"/>
        <rFont val="Cambria"/>
        <family val="1"/>
      </rPr>
      <t>Westhaven IIB</t>
    </r>
    <r>
      <rPr>
        <sz val="14"/>
        <color indexed="8"/>
        <rFont val="Cambria"/>
        <family val="1"/>
      </rPr>
      <t xml:space="preserve"> 2014 Audit Reconciliation</t>
    </r>
  </si>
  <si>
    <t>CY 2013 Audit</t>
  </si>
  <si>
    <t>CY 2014 Budget</t>
  </si>
  <si>
    <t>Audit 2014</t>
  </si>
  <si>
    <t>Actual expense exceeds budget. Please provide an explanation for the increase and invoices to support the expense.</t>
  </si>
  <si>
    <t xml:space="preserve">OPEN </t>
  </si>
  <si>
    <t>TRR balance 12-31-2014</t>
  </si>
  <si>
    <t>Seal Coating of parking lots/asphalt sealing/General repairs</t>
  </si>
  <si>
    <t>Currently being bid</t>
  </si>
  <si>
    <t xml:space="preserve"> Portfolio Manager____________________________________ </t>
  </si>
  <si>
    <t xml:space="preserve"> Senior Portfolio Manager _______________________ </t>
  </si>
  <si>
    <t xml:space="preserve"> Deputy Chief (Property Office)  ________________________________ </t>
  </si>
  <si>
    <t>account</t>
  </si>
  <si>
    <t>Line 10</t>
  </si>
  <si>
    <t>Line 11</t>
  </si>
  <si>
    <t>Line 13</t>
  </si>
  <si>
    <t xml:space="preserve">Benefits: Total Development </t>
  </si>
  <si>
    <t xml:space="preserve">Benefits: CHA Share </t>
  </si>
  <si>
    <t>Tenant Rent Reserve Deposit Balance</t>
  </si>
  <si>
    <t>Expected Funding Surplus (Shortfall )</t>
  </si>
  <si>
    <t xml:space="preserve">CHA Share </t>
  </si>
  <si>
    <t>Planned Capital Maintenanence Costs</t>
  </si>
  <si>
    <t>Tenant Rental Income ONLY</t>
  </si>
  <si>
    <t xml:space="preserve"> Regional Director _________________________________ </t>
  </si>
  <si>
    <t>1st Qtr Budget</t>
  </si>
  <si>
    <t>Cell Phone Tower</t>
  </si>
  <si>
    <t xml:space="preserve">Tenant Rental Income ONLY </t>
  </si>
  <si>
    <t xml:space="preserve">Cell Phone Tower Income </t>
  </si>
  <si>
    <t>Total Cell Phone Tower Income</t>
  </si>
  <si>
    <t>Social Programming (Payroll)</t>
  </si>
  <si>
    <t xml:space="preserve">Travel </t>
  </si>
  <si>
    <t>Total Advertising</t>
  </si>
  <si>
    <t>Total Asset Management Fee</t>
  </si>
  <si>
    <t>Total Bad Debt/Collection Loss</t>
  </si>
  <si>
    <t>Total Contracts(Printing)</t>
  </si>
  <si>
    <t>Total Office Rent/Utilities</t>
  </si>
  <si>
    <t>Total Social Programming (Payroll)</t>
  </si>
  <si>
    <t xml:space="preserve">Total Staff Training </t>
  </si>
  <si>
    <t xml:space="preserve">Telephone </t>
  </si>
  <si>
    <t xml:space="preserve">Total Telephone  </t>
  </si>
  <si>
    <t xml:space="preserve">Total Travel </t>
  </si>
  <si>
    <t>Total Assessment Fees</t>
  </si>
  <si>
    <t>Total Laundry Expense</t>
  </si>
  <si>
    <t>Total Mechanical Engineer</t>
  </si>
  <si>
    <t>Total Ord. Maint/Contract Maintenance</t>
  </si>
  <si>
    <t xml:space="preserve">Open </t>
  </si>
  <si>
    <t xml:space="preserve">Total Open </t>
  </si>
  <si>
    <t>Total Elevator</t>
  </si>
  <si>
    <t>Total Floor Tile - Repair and Replacement</t>
  </si>
  <si>
    <t>Total Locksmith Services, Locks and Keys</t>
  </si>
  <si>
    <t>Total Maintenance Rent Free Unit</t>
  </si>
  <si>
    <t xml:space="preserve">Total Ord. Maint/Contract Maintenance </t>
  </si>
  <si>
    <t xml:space="preserve">Total Plumbing Maint. </t>
  </si>
  <si>
    <t>Open</t>
  </si>
  <si>
    <t xml:space="preserve">Total  Open </t>
  </si>
  <si>
    <t xml:space="preserve">Utility Expense </t>
  </si>
  <si>
    <t xml:space="preserve">Electricity </t>
  </si>
  <si>
    <t xml:space="preserve">Total Electricity Expenses </t>
  </si>
  <si>
    <t xml:space="preserve">Fuel (Gas) </t>
  </si>
  <si>
    <t xml:space="preserve">Total Fuel (Gas) Expenses </t>
  </si>
  <si>
    <t xml:space="preserve">Water and Sewer </t>
  </si>
  <si>
    <t xml:space="preserve">Total  Water and Sewer Expenses </t>
  </si>
  <si>
    <t xml:space="preserve">Insurance and Taxes </t>
  </si>
  <si>
    <t>Total Auto Insurance</t>
  </si>
  <si>
    <t>Total Employee Benefits - Union</t>
  </si>
  <si>
    <t>Total Employee Group Insurance</t>
  </si>
  <si>
    <t>Total FICA Expense</t>
  </si>
  <si>
    <t>Total Fidelity Bond</t>
  </si>
  <si>
    <t>Total Interest on Debt Service</t>
  </si>
  <si>
    <t>Total Payroll Taxes</t>
  </si>
  <si>
    <t>Total Property &amp; Liability Ins.</t>
  </si>
  <si>
    <t>Total Real Estate Taxes</t>
  </si>
  <si>
    <t>Total Worker's Compensation Ins.</t>
  </si>
  <si>
    <t xml:space="preserve">Total Open Expenses </t>
  </si>
  <si>
    <t>Staff  Units</t>
  </si>
  <si>
    <t>Total Staff Units</t>
  </si>
  <si>
    <t xml:space="preserve">Total Maintenance Supplies </t>
  </si>
  <si>
    <t xml:space="preserve">Qty </t>
  </si>
  <si>
    <t xml:space="preserve">Percentage </t>
  </si>
  <si>
    <t xml:space="preserve">Total </t>
  </si>
  <si>
    <t>Total Development 
Cost</t>
  </si>
  <si>
    <t>Example</t>
  </si>
  <si>
    <t xml:space="preserve">Replacemenr Reserve First, then Tenant Rent Reserve </t>
  </si>
  <si>
    <t xml:space="preserve">Signatures </t>
  </si>
  <si>
    <t xml:space="preserve">Total Tenant Rent Reserve Deposit </t>
  </si>
  <si>
    <t>Net Operating Income (Loss)</t>
  </si>
  <si>
    <t>Expected Funding Surplus (Shortfall)</t>
  </si>
  <si>
    <t xml:space="preserve"> This Column Is Locked</t>
  </si>
  <si>
    <t xml:space="preserve">If Applicable </t>
  </si>
  <si>
    <t>If Applicabble</t>
  </si>
  <si>
    <t>Mth</t>
  </si>
  <si>
    <t xml:space="preserve">Please Provide Detail </t>
  </si>
  <si>
    <r>
      <rPr>
        <b/>
        <sz val="12"/>
        <color indexed="10"/>
        <rFont val="Calibri"/>
        <family val="2"/>
      </rPr>
      <t>ADD:</t>
    </r>
    <r>
      <rPr>
        <sz val="12"/>
        <color indexed="10"/>
        <rFont val="Calibri"/>
        <family val="2"/>
      </rPr>
      <t xml:space="preserve"> </t>
    </r>
    <r>
      <rPr>
        <sz val="12"/>
        <color indexed="8"/>
        <rFont val="Calibri"/>
        <family val="2"/>
      </rPr>
      <t>Expected TRR Deposit Collection 7/17 - 12/17</t>
    </r>
  </si>
  <si>
    <t>BUDGET CEILING</t>
  </si>
  <si>
    <t>DIFFERENCE</t>
  </si>
  <si>
    <t>Less:  Anticipated Usage (Included Under Capital Cost)</t>
  </si>
  <si>
    <r>
      <t xml:space="preserve">Please Reference your Regulatory and Operating Agreement to determine both the use order in which funds are to be used from both the replacement reservce account and tenant rent reserve account. </t>
    </r>
    <r>
      <rPr>
        <b/>
        <i/>
        <sz val="10"/>
        <color rgb="FFFF0000"/>
        <rFont val="Arial"/>
        <family val="2"/>
      </rPr>
      <t>Figures are for sample purposes only</t>
    </r>
    <r>
      <rPr>
        <b/>
        <i/>
        <sz val="10"/>
        <rFont val="Arial"/>
        <family val="2"/>
      </rPr>
      <t>.</t>
    </r>
  </si>
  <si>
    <t>TRR Beginning Balance: 12/31/18</t>
  </si>
  <si>
    <r>
      <rPr>
        <b/>
        <sz val="12"/>
        <color indexed="10"/>
        <rFont val="Calibri"/>
        <family val="2"/>
      </rPr>
      <t>ADD</t>
    </r>
    <r>
      <rPr>
        <sz val="12"/>
        <rFont val="Calibri"/>
        <family val="2"/>
      </rPr>
      <t xml:space="preserve">: </t>
    </r>
    <r>
      <rPr>
        <sz val="12"/>
        <color indexed="8"/>
        <rFont val="Calibri"/>
        <family val="2"/>
      </rPr>
      <t>Expected TRR Deposit Collection 1/19 - 12/19</t>
    </r>
  </si>
  <si>
    <r>
      <rPr>
        <b/>
        <sz val="12"/>
        <rFont val="Calibri"/>
        <family val="2"/>
      </rPr>
      <t>Less:</t>
    </r>
    <r>
      <rPr>
        <sz val="12"/>
        <rFont val="Calibri"/>
        <family val="2"/>
      </rPr>
      <t xml:space="preserve"> TRR Payments                                                          (2017 Annual Rec, 2018 Advances) </t>
    </r>
  </si>
  <si>
    <r>
      <rPr>
        <b/>
        <sz val="12"/>
        <rFont val="Calibri"/>
        <family val="2"/>
      </rPr>
      <t xml:space="preserve">Less: </t>
    </r>
    <r>
      <rPr>
        <sz val="12"/>
        <rFont val="Calibri"/>
        <family val="2"/>
      </rPr>
      <t xml:space="preserve">TRR Payments                                                          (2018 Annual Rec, 2019 Advances) </t>
    </r>
  </si>
  <si>
    <t>Ending TRR Balance: 12/31/19</t>
  </si>
  <si>
    <t>Actuals per Audited Financial Statements 2018</t>
  </si>
  <si>
    <t>Replacement Reserve as of 12/31/18</t>
  </si>
  <si>
    <t>Plus:  2019 Deposits</t>
  </si>
  <si>
    <t>Replacement Reserve Balance Projected as of 12/31/19</t>
  </si>
  <si>
    <t>Rubbish Removal/Scavenger Service</t>
  </si>
  <si>
    <t>CHA's Comments/Remarks</t>
  </si>
  <si>
    <t>Comments/Remarks/Justifications for ___% increases/decreases</t>
  </si>
  <si>
    <t>Spring/Summer of 2020</t>
  </si>
  <si>
    <t>Actual CHA based on 2018's Audit</t>
  </si>
  <si>
    <t>FICA Taxes</t>
  </si>
  <si>
    <t xml:space="preserve">Payroll Taxes </t>
  </si>
  <si>
    <t>Payroll Taxes (i.e. Unemployment)</t>
  </si>
  <si>
    <t>Annual Salary Rate Appropriated to this site.</t>
  </si>
  <si>
    <t>Mohawk North</t>
  </si>
  <si>
    <t>Property Manager</t>
  </si>
  <si>
    <t>Jodie Hsieh</t>
  </si>
  <si>
    <t>Maintenance Tech</t>
  </si>
  <si>
    <t>Help wanted advertising</t>
  </si>
  <si>
    <t>Platinum Pest Solutions</t>
  </si>
  <si>
    <t>No Janitor maintenance only</t>
  </si>
  <si>
    <t>102% of 2018</t>
  </si>
  <si>
    <t>Annual Audit/Misc Accting</t>
  </si>
  <si>
    <t>15% of total estimated cost</t>
  </si>
  <si>
    <t>Copying Expense - .05</t>
  </si>
  <si>
    <t>$44 PUPM X 12 Months</t>
  </si>
  <si>
    <t>Estimated Refrig and Stove Repair</t>
  </si>
  <si>
    <t>Misc Hardware and Supplies</t>
  </si>
  <si>
    <t>Realty &amp; Mortgage Co.</t>
  </si>
  <si>
    <t/>
  </si>
  <si>
    <t>Monthly Tenant Rent</t>
  </si>
  <si>
    <t>Estimate no contract</t>
  </si>
  <si>
    <t>No Contract</t>
  </si>
  <si>
    <t>Bank Fees</t>
  </si>
  <si>
    <t>Credit Checks/Backround Reports</t>
  </si>
  <si>
    <t>Estimated eviction/collection costs</t>
  </si>
  <si>
    <t>Husby/Schiff</t>
  </si>
  <si>
    <t>Misc Legal Expense</t>
  </si>
  <si>
    <t>R&amp;M</t>
  </si>
  <si>
    <t>Survus Connect Renewal</t>
  </si>
  <si>
    <t>Qtr Charge</t>
  </si>
  <si>
    <t>Mailing Notices/3rd Party Verification</t>
  </si>
  <si>
    <t>US Post Off.</t>
  </si>
  <si>
    <t>Meeting Materials</t>
  </si>
  <si>
    <t>NCHM/Nan McKay Courses</t>
  </si>
  <si>
    <t>NCHM/Nan</t>
  </si>
  <si>
    <t>McKay</t>
  </si>
  <si>
    <t>Cell Phone Reimbursement 15% of</t>
  </si>
  <si>
    <t>$75 monthly</t>
  </si>
  <si>
    <t>Assessments Paid to Assocaition</t>
  </si>
  <si>
    <t xml:space="preserve">Mohawk North Condiminium </t>
  </si>
  <si>
    <t>Association</t>
  </si>
  <si>
    <t>Montly Pest Control</t>
  </si>
  <si>
    <t>15% of $396 Monthly Contract</t>
  </si>
  <si>
    <t xml:space="preserve">Replacement of Carpet due to </t>
  </si>
  <si>
    <t>wear</t>
  </si>
  <si>
    <t>Cleaning unit carpet</t>
  </si>
  <si>
    <t>Furance Filters/Parts</t>
  </si>
  <si>
    <t>HD Supply</t>
  </si>
  <si>
    <t xml:space="preserve">HD Supply </t>
  </si>
  <si>
    <t>others</t>
  </si>
  <si>
    <t>Repairs From Outside Contractor</t>
  </si>
  <si>
    <t>Turn over painting and drywall repair</t>
  </si>
  <si>
    <t>Outside vendor plumbing repair</t>
  </si>
  <si>
    <t>Maint Uniforms</t>
  </si>
  <si>
    <t>Provide uniforms no contract</t>
  </si>
  <si>
    <t>Repair/Replace Broken Windows</t>
  </si>
  <si>
    <t xml:space="preserve">HT Discount </t>
  </si>
  <si>
    <t>Glass</t>
  </si>
  <si>
    <t>Electricity for vacants</t>
  </si>
  <si>
    <t>ComEd</t>
  </si>
  <si>
    <t>Gas for Vacant</t>
  </si>
  <si>
    <t>Peoples Gas</t>
  </si>
  <si>
    <t>Joseph Knowles</t>
  </si>
  <si>
    <t>HVAC Replacement</t>
  </si>
  <si>
    <t>Hollub Heating</t>
  </si>
  <si>
    <t>Tenant Rent Reserve</t>
  </si>
  <si>
    <t>Unknown</t>
  </si>
  <si>
    <t>New Flooring</t>
  </si>
  <si>
    <t>Kitchen Cabinets</t>
  </si>
  <si>
    <t>New Kitchen Counters Sinks</t>
  </si>
  <si>
    <t>Other Income - Bad Debt</t>
  </si>
  <si>
    <t>2019 Audit/Accounting expenses budget was insufficient for annual audit and misc accounting expenses</t>
  </si>
  <si>
    <t>2019 Credit/Background Check budget was not adequate to cover expenses for applicants</t>
  </si>
  <si>
    <t>2019 Legal Expense Eviction budget was inadequate to cover the eviction expenses of the property</t>
  </si>
  <si>
    <t>2019 Miscellaneous Legal Expense budget did not cover legal expenses of the property</t>
  </si>
  <si>
    <t>2019 Managers' Salary  budget was not competitive</t>
  </si>
  <si>
    <t>Added Servus Connect in 2020</t>
  </si>
  <si>
    <t>2019 Office Supplies budget was inadequate to cover supply costs</t>
  </si>
  <si>
    <t>2019 Postage budget amount was deficient. Mailing notice and verification expenditures exceeded budget</t>
  </si>
  <si>
    <t>2019 Staff Training budget was not enough to cover NCHM/Nan McKay training</t>
  </si>
  <si>
    <t>2019 Assessment Fee budget did not match actual assessment fees</t>
  </si>
  <si>
    <t>Flooring replacement plan needs to be implemented in 2020</t>
  </si>
  <si>
    <t>2019 HVAC Supplies budget was insufficient</t>
  </si>
  <si>
    <t>2019 Maintenance Supply budget was too meager to account for deferred maintenance issues</t>
  </si>
  <si>
    <t>2019 Contract Maintenance budget was not enough to account for deferred maintenance issues</t>
  </si>
  <si>
    <t>2019 Painting/Decorating budget was insufficient to cover turn over, painting and drywall repairs</t>
  </si>
  <si>
    <t>2019 Plumbing Maintenance budget was not sufficient to cover 2019 expenses</t>
  </si>
  <si>
    <t>2019 Uniforms budget was not generous enough to cover maintenance tech uniform expenses</t>
  </si>
  <si>
    <t>2019 Window/Glass repair budget was not satisfactory to cover expenses incurred in 2019</t>
  </si>
  <si>
    <t>2019 Electricity expenses in vacant units exceeded budget</t>
  </si>
  <si>
    <t>2019 Employee Group Insurance budget did not meet the insurance expense costs</t>
  </si>
  <si>
    <t>2019 Worker's Compensation Ins budget did not meet the expense costs</t>
  </si>
  <si>
    <t>CHICAGO HOUSING AUTHORITY FY 2021 OPERATING BUDGET</t>
  </si>
  <si>
    <t>2019 Audit</t>
  </si>
  <si>
    <t>2020 CHA Approved Budget</t>
  </si>
  <si>
    <t>2021 CHA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</si>
</sst>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 numFmtId="167" formatCode="0.000_);\(0.000\)"/>
    <numFmt numFmtId="168" formatCode="0.0%"/>
    <numFmt numFmtId="169" formatCode="0_);\(0\)"/>
    <numFmt numFmtId="170" formatCode="_(* #,##0.0_);_(* \(#,##0.0\);_(* &quot;-&quot;??_);_(@_)"/>
  </numFmts>
  <fonts count="61" x14ac:knownFonts="1">
    <font>
      <sz val="10"/>
      <name val="Arial"/>
    </font>
    <font>
      <sz val="10"/>
      <name val="Arial"/>
      <family val="2"/>
    </font>
    <font>
      <sz val="10"/>
      <name val="Arial"/>
      <family val="2"/>
    </font>
    <font>
      <sz val="10"/>
      <name val="Arial"/>
      <family val="2"/>
    </font>
    <font>
      <sz val="12"/>
      <name val="Calibri"/>
      <family val="2"/>
    </font>
    <font>
      <b/>
      <sz val="16"/>
      <name val="Garamond"/>
      <family val="1"/>
    </font>
    <font>
      <sz val="16"/>
      <name val="Garamond"/>
      <family val="1"/>
    </font>
    <font>
      <sz val="10"/>
      <name val="Arial"/>
      <family val="2"/>
    </font>
    <font>
      <sz val="10"/>
      <color indexed="8"/>
      <name val="Arial"/>
      <family val="2"/>
    </font>
    <font>
      <sz val="14"/>
      <color indexed="8"/>
      <name val="Cambria"/>
      <family val="1"/>
    </font>
    <font>
      <sz val="12"/>
      <color indexed="8"/>
      <name val="Cambria"/>
      <family val="1"/>
    </font>
    <font>
      <b/>
      <sz val="12"/>
      <color indexed="8"/>
      <name val="Cambria"/>
      <family val="1"/>
    </font>
    <font>
      <b/>
      <u/>
      <sz val="14"/>
      <color indexed="8"/>
      <name val="Cambria"/>
      <family val="1"/>
    </font>
    <font>
      <sz val="14"/>
      <color indexed="10"/>
      <name val="Cambria"/>
      <family val="1"/>
    </font>
    <font>
      <b/>
      <sz val="9"/>
      <color indexed="81"/>
      <name val="Tahoma"/>
      <family val="2"/>
    </font>
    <font>
      <sz val="9"/>
      <color indexed="81"/>
      <name val="Tahoma"/>
      <family val="2"/>
    </font>
    <font>
      <sz val="14"/>
      <name val="Cambria"/>
      <family val="1"/>
    </font>
    <font>
      <sz val="12"/>
      <name val="Cambria"/>
      <family val="1"/>
    </font>
    <font>
      <sz val="12"/>
      <name val="Arial"/>
      <family val="2"/>
    </font>
    <font>
      <b/>
      <sz val="12"/>
      <name val="Arial"/>
      <family val="2"/>
    </font>
    <font>
      <b/>
      <sz val="12"/>
      <name val="Cambria"/>
      <family val="1"/>
    </font>
    <font>
      <b/>
      <sz val="12"/>
      <name val="Calibri"/>
      <family val="2"/>
    </font>
    <font>
      <sz val="12"/>
      <color indexed="8"/>
      <name val="Calibri"/>
      <family val="2"/>
    </font>
    <font>
      <b/>
      <sz val="12"/>
      <color indexed="10"/>
      <name val="Calibri"/>
      <family val="2"/>
    </font>
    <font>
      <sz val="12"/>
      <color indexed="10"/>
      <name val="Calibri"/>
      <family val="2"/>
    </font>
    <font>
      <i/>
      <sz val="10"/>
      <name val="Arial"/>
      <family val="2"/>
    </font>
    <font>
      <sz val="16"/>
      <name val="Arial"/>
      <family val="2"/>
    </font>
    <font>
      <sz val="10"/>
      <color theme="1"/>
      <name val="Arial"/>
      <family val="2"/>
    </font>
    <font>
      <sz val="10"/>
      <name val="Calibri"/>
      <family val="2"/>
      <scheme val="minor"/>
    </font>
    <font>
      <sz val="12"/>
      <name val="Calibri"/>
      <family val="2"/>
      <scheme val="minor"/>
    </font>
    <font>
      <b/>
      <sz val="12"/>
      <name val="Calibri"/>
      <family val="2"/>
      <scheme val="minor"/>
    </font>
    <font>
      <b/>
      <sz val="11"/>
      <color indexed="9"/>
      <name val="Calibri"/>
      <family val="2"/>
      <scheme val="minor"/>
    </font>
    <font>
      <b/>
      <sz val="10"/>
      <name val="Calibri"/>
      <family val="2"/>
      <scheme val="minor"/>
    </font>
    <font>
      <b/>
      <sz val="12"/>
      <color indexed="9"/>
      <name val="Calibri"/>
      <family val="2"/>
      <scheme val="minor"/>
    </font>
    <font>
      <b/>
      <sz val="10"/>
      <color indexed="9"/>
      <name val="Calibri"/>
      <family val="2"/>
      <scheme val="minor"/>
    </font>
    <font>
      <sz val="12"/>
      <color rgb="FF0070C0"/>
      <name val="Calibri"/>
      <family val="2"/>
      <scheme val="minor"/>
    </font>
    <font>
      <sz val="10"/>
      <color indexed="8"/>
      <name val="Calibri"/>
      <family val="2"/>
      <scheme val="minor"/>
    </font>
    <font>
      <sz val="16"/>
      <color rgb="FF000000"/>
      <name val="Garamond"/>
      <family val="1"/>
    </font>
    <font>
      <sz val="16"/>
      <color rgb="FFFF0000"/>
      <name val="Garamond"/>
      <family val="1"/>
    </font>
    <font>
      <b/>
      <sz val="12"/>
      <color rgb="FFFF0000"/>
      <name val="Calibri"/>
      <family val="2"/>
      <scheme val="minor"/>
    </font>
    <font>
      <b/>
      <sz val="12"/>
      <color rgb="FF0070C0"/>
      <name val="Calibri"/>
      <family val="2"/>
      <scheme val="minor"/>
    </font>
    <font>
      <sz val="12"/>
      <color rgb="FFFF0000"/>
      <name val="Calibri"/>
      <family val="2"/>
      <scheme val="minor"/>
    </font>
    <font>
      <b/>
      <sz val="12"/>
      <color indexed="8"/>
      <name val="Calibri"/>
      <family val="2"/>
      <scheme val="minor"/>
    </font>
    <font>
      <b/>
      <i/>
      <u/>
      <sz val="12"/>
      <name val="Calibri"/>
      <family val="2"/>
      <scheme val="minor"/>
    </font>
    <font>
      <u/>
      <sz val="9"/>
      <color theme="10"/>
      <name val="Arial"/>
      <family val="2"/>
    </font>
    <font>
      <b/>
      <sz val="12"/>
      <color rgb="FFFF0000"/>
      <name val="Cambria"/>
      <family val="1"/>
    </font>
    <font>
      <sz val="12"/>
      <color rgb="FFFF0000"/>
      <name val="Cambria"/>
      <family val="1"/>
    </font>
    <font>
      <sz val="18"/>
      <name val="Calibri"/>
      <family val="2"/>
      <scheme val="minor"/>
    </font>
    <font>
      <b/>
      <sz val="16"/>
      <name val="Calibri"/>
      <family val="2"/>
      <scheme val="minor"/>
    </font>
    <font>
      <b/>
      <sz val="10"/>
      <color rgb="FFFF0000"/>
      <name val="Calibri"/>
      <family val="2"/>
      <scheme val="minor"/>
    </font>
    <font>
      <sz val="12"/>
      <color indexed="9"/>
      <name val="Calibri"/>
      <family val="2"/>
      <scheme val="minor"/>
    </font>
    <font>
      <b/>
      <i/>
      <sz val="10"/>
      <name val="Calibri"/>
      <family val="2"/>
      <scheme val="minor"/>
    </font>
    <font>
      <sz val="12"/>
      <color theme="1"/>
      <name val="Calibri"/>
      <family val="2"/>
      <scheme val="minor"/>
    </font>
    <font>
      <b/>
      <i/>
      <sz val="8"/>
      <name val="Calibri"/>
      <family val="2"/>
      <scheme val="minor"/>
    </font>
    <font>
      <sz val="8"/>
      <color rgb="FF000000"/>
      <name val="Verdana"/>
      <family val="2"/>
    </font>
    <font>
      <b/>
      <u/>
      <sz val="14"/>
      <color rgb="FFFF0000"/>
      <name val="Cambria"/>
      <family val="1"/>
    </font>
    <font>
      <b/>
      <i/>
      <sz val="12"/>
      <name val="Calibri"/>
      <family val="2"/>
      <scheme val="minor"/>
    </font>
    <font>
      <b/>
      <i/>
      <sz val="10"/>
      <name val="Arial"/>
      <family val="2"/>
    </font>
    <font>
      <b/>
      <i/>
      <sz val="10"/>
      <color rgb="FFFF0000"/>
      <name val="Arial"/>
      <family val="2"/>
    </font>
    <font>
      <u/>
      <sz val="10"/>
      <color theme="10"/>
      <name val="Arial"/>
      <family val="2"/>
    </font>
    <font>
      <u/>
      <sz val="10"/>
      <color theme="11"/>
      <name val="Arial"/>
      <family val="2"/>
    </font>
  </fonts>
  <fills count="27">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43"/>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27"/>
        <bgColor indexed="64"/>
      </patternFill>
    </fill>
    <fill>
      <patternFill patternType="darkTrellis"/>
    </fill>
    <fill>
      <patternFill patternType="darkGray">
        <bgColor indexed="43"/>
      </patternFill>
    </fill>
    <fill>
      <patternFill patternType="darkGray"/>
    </fill>
    <fill>
      <patternFill patternType="solid">
        <fgColor indexed="44"/>
        <bgColor indexed="64"/>
      </patternFill>
    </fill>
    <fill>
      <patternFill patternType="solid">
        <fgColor theme="5" tint="0.79998168889431442"/>
        <bgColor indexed="64"/>
      </patternFill>
    </fill>
    <fill>
      <patternFill patternType="solid">
        <fgColor rgb="FFD8D8D8"/>
        <bgColor indexed="64"/>
      </patternFill>
    </fill>
    <fill>
      <patternFill patternType="solid">
        <fgColor theme="0" tint="-0.14999847407452621"/>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59999389629810485"/>
        <bgColor indexed="64"/>
      </patternFill>
    </fill>
  </fills>
  <borders count="81">
    <border>
      <left/>
      <right/>
      <top/>
      <bottom/>
      <diagonal/>
    </border>
    <border>
      <left style="double">
        <color auto="1"/>
      </left>
      <right/>
      <top style="thin">
        <color indexed="8"/>
      </top>
      <bottom style="thin">
        <color indexed="8"/>
      </bottom>
      <diagonal/>
    </border>
    <border>
      <left style="double">
        <color auto="1"/>
      </left>
      <right/>
      <top/>
      <bottom/>
      <diagonal/>
    </border>
    <border>
      <left style="thin">
        <color auto="1"/>
      </left>
      <right style="thin">
        <color auto="1"/>
      </right>
      <top/>
      <bottom/>
      <diagonal/>
    </border>
    <border>
      <left style="double">
        <color auto="1"/>
      </left>
      <right style="thin">
        <color indexed="9"/>
      </right>
      <top style="double">
        <color auto="1"/>
      </top>
      <bottom/>
      <diagonal/>
    </border>
    <border>
      <left style="thin">
        <color indexed="9"/>
      </left>
      <right style="thin">
        <color indexed="9"/>
      </right>
      <top style="double">
        <color auto="1"/>
      </top>
      <bottom/>
      <diagonal/>
    </border>
    <border>
      <left/>
      <right/>
      <top style="thin">
        <color indexed="8"/>
      </top>
      <bottom style="thin">
        <color indexed="8"/>
      </bottom>
      <diagonal/>
    </border>
    <border>
      <left style="double">
        <color auto="1"/>
      </left>
      <right style="thin">
        <color auto="1"/>
      </right>
      <top/>
      <bottom/>
      <diagonal/>
    </border>
    <border>
      <left style="thin">
        <color indexed="9"/>
      </left>
      <right style="thin">
        <color indexed="9"/>
      </right>
      <top style="medium">
        <color auto="1"/>
      </top>
      <bottom/>
      <diagonal/>
    </border>
    <border>
      <left style="double">
        <color auto="1"/>
      </left>
      <right/>
      <top/>
      <bottom style="double">
        <color auto="1"/>
      </bottom>
      <diagonal/>
    </border>
    <border>
      <left/>
      <right/>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indexed="9"/>
      </right>
      <top style="medium">
        <color auto="1"/>
      </top>
      <bottom/>
      <diagonal/>
    </border>
    <border>
      <left style="thin">
        <color indexed="9"/>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indexed="9"/>
      </right>
      <top style="double">
        <color auto="1"/>
      </top>
      <bottom/>
      <diagonal/>
    </border>
    <border>
      <left style="double">
        <color auto="1"/>
      </left>
      <right style="thin">
        <color auto="1"/>
      </right>
      <top style="double">
        <color auto="1"/>
      </top>
      <bottom/>
      <diagonal/>
    </border>
    <border>
      <left style="double">
        <color auto="1"/>
      </left>
      <right style="thin">
        <color auto="1"/>
      </right>
      <top style="thin">
        <color indexed="8"/>
      </top>
      <bottom style="thin">
        <color indexed="8"/>
      </bottom>
      <diagonal/>
    </border>
    <border>
      <left style="double">
        <color auto="1"/>
      </left>
      <right/>
      <top style="double">
        <color auto="1"/>
      </top>
      <bottom/>
      <diagonal/>
    </border>
    <border>
      <left style="thin">
        <color auto="1"/>
      </left>
      <right/>
      <top/>
      <bottom/>
      <diagonal/>
    </border>
    <border>
      <left style="medium">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9"/>
      </right>
      <top style="medium">
        <color auto="1"/>
      </top>
      <bottom/>
      <diagonal/>
    </border>
    <border>
      <left/>
      <right style="thin">
        <color auto="1"/>
      </right>
      <top style="thin">
        <color indexed="8"/>
      </top>
      <bottom/>
      <diagonal/>
    </border>
    <border>
      <left style="thin">
        <color auto="1"/>
      </left>
      <right style="thin">
        <color auto="1"/>
      </right>
      <top style="thin">
        <color indexed="8"/>
      </top>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double">
        <color auto="1"/>
      </left>
      <right style="thin">
        <color indexed="9"/>
      </right>
      <top/>
      <bottom/>
      <diagonal/>
    </border>
    <border>
      <left style="double">
        <color auto="1"/>
      </left>
      <right style="thin">
        <color indexed="9"/>
      </right>
      <top style="medium">
        <color auto="1"/>
      </top>
      <bottom/>
      <diagonal/>
    </border>
    <border>
      <left style="thin">
        <color indexed="9"/>
      </left>
      <right/>
      <top style="double">
        <color auto="1"/>
      </top>
      <bottom/>
      <diagonal/>
    </border>
    <border>
      <left/>
      <right style="thin">
        <color indexed="8"/>
      </right>
      <top style="thin">
        <color indexed="8"/>
      </top>
      <bottom style="thin">
        <color indexed="8"/>
      </bottom>
      <diagonal/>
    </border>
    <border>
      <left/>
      <right style="thin">
        <color auto="1"/>
      </right>
      <top/>
      <bottom style="double">
        <color auto="1"/>
      </bottom>
      <diagonal/>
    </border>
    <border>
      <left style="medium">
        <color auto="1"/>
      </left>
      <right/>
      <top style="medium">
        <color auto="1"/>
      </top>
      <bottom style="medium">
        <color auto="1"/>
      </bottom>
      <diagonal/>
    </border>
  </borders>
  <cellStyleXfs count="24">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0" fontId="2" fillId="0" borderId="0"/>
    <xf numFmtId="0" fontId="27" fillId="0" borderId="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2" fillId="0" borderId="0"/>
    <xf numFmtId="0" fontId="59" fillId="0" borderId="0" applyNumberFormat="0" applyFill="0" applyBorder="0" applyAlignment="0" applyProtection="0"/>
    <xf numFmtId="0" fontId="60" fillId="0" borderId="0" applyNumberFormat="0" applyFill="0" applyBorder="0" applyAlignment="0" applyProtection="0"/>
  </cellStyleXfs>
  <cellXfs count="896">
    <xf numFmtId="0" fontId="0" fillId="0" borderId="0" xfId="0"/>
    <xf numFmtId="0" fontId="28" fillId="0" borderId="0" xfId="0" applyFont="1"/>
    <xf numFmtId="0" fontId="29" fillId="0" borderId="0" xfId="0" applyFont="1"/>
    <xf numFmtId="0" fontId="30" fillId="2" borderId="1" xfId="0" applyFont="1" applyFill="1" applyBorder="1" applyProtection="1"/>
    <xf numFmtId="0" fontId="31" fillId="3" borderId="2" xfId="0" applyFont="1" applyFill="1" applyBorder="1" applyProtection="1"/>
    <xf numFmtId="0" fontId="31" fillId="3" borderId="0" xfId="0" applyFont="1" applyFill="1" applyBorder="1" applyProtection="1"/>
    <xf numFmtId="166" fontId="31" fillId="3" borderId="0" xfId="0" applyNumberFormat="1" applyFont="1" applyFill="1" applyBorder="1" applyProtection="1"/>
    <xf numFmtId="0" fontId="28" fillId="0" borderId="2" xfId="0" applyFont="1" applyBorder="1" applyProtection="1"/>
    <xf numFmtId="0" fontId="28" fillId="0" borderId="0" xfId="0" applyFont="1" applyBorder="1" applyProtection="1"/>
    <xf numFmtId="0" fontId="32" fillId="0" borderId="3" xfId="0" applyFont="1" applyFill="1" applyBorder="1" applyAlignment="1" applyProtection="1">
      <alignment horizontal="left" wrapText="1"/>
    </xf>
    <xf numFmtId="0" fontId="28" fillId="3" borderId="0" xfId="0" applyFont="1" applyFill="1" applyBorder="1" applyProtection="1"/>
    <xf numFmtId="0" fontId="33" fillId="3" borderId="4" xfId="0" applyFont="1" applyFill="1" applyBorder="1" applyAlignment="1" applyProtection="1">
      <alignment horizontal="center" wrapText="1"/>
    </xf>
    <xf numFmtId="0" fontId="33" fillId="3" borderId="5" xfId="0" applyFont="1" applyFill="1" applyBorder="1" applyAlignment="1" applyProtection="1">
      <alignment horizontal="center" wrapText="1"/>
    </xf>
    <xf numFmtId="0" fontId="29" fillId="2" borderId="6" xfId="0" applyFont="1" applyFill="1" applyBorder="1" applyProtection="1"/>
    <xf numFmtId="0" fontId="29" fillId="0" borderId="7" xfId="0" applyFont="1" applyFill="1" applyBorder="1" applyAlignment="1" applyProtection="1">
      <alignment vertical="top" wrapText="1"/>
    </xf>
    <xf numFmtId="166" fontId="29" fillId="4" borderId="3" xfId="9" applyNumberFormat="1" applyFont="1" applyFill="1" applyBorder="1" applyAlignment="1" applyProtection="1">
      <alignment vertical="top"/>
    </xf>
    <xf numFmtId="0" fontId="33" fillId="3" borderId="2" xfId="0" applyFont="1" applyFill="1" applyBorder="1" applyProtection="1"/>
    <xf numFmtId="0" fontId="33" fillId="3" borderId="0" xfId="0" applyFont="1" applyFill="1" applyBorder="1" applyProtection="1"/>
    <xf numFmtId="0" fontId="29" fillId="0" borderId="2" xfId="0" applyFont="1" applyBorder="1" applyProtection="1"/>
    <xf numFmtId="0" fontId="29" fillId="0" borderId="0" xfId="0" applyFont="1" applyBorder="1" applyProtection="1"/>
    <xf numFmtId="0" fontId="33" fillId="3" borderId="8" xfId="0" applyFont="1" applyFill="1" applyBorder="1" applyAlignment="1" applyProtection="1">
      <alignment horizontal="center" wrapText="1"/>
    </xf>
    <xf numFmtId="0" fontId="29" fillId="0" borderId="7" xfId="0" applyFont="1" applyFill="1" applyBorder="1" applyProtection="1"/>
    <xf numFmtId="166" fontId="29" fillId="4" borderId="3" xfId="9" applyNumberFormat="1" applyFont="1" applyFill="1" applyBorder="1" applyProtection="1"/>
    <xf numFmtId="0" fontId="33" fillId="3" borderId="9" xfId="0" applyFont="1" applyFill="1" applyBorder="1" applyProtection="1"/>
    <xf numFmtId="0" fontId="33" fillId="3" borderId="10" xfId="0" applyFont="1" applyFill="1" applyBorder="1" applyProtection="1"/>
    <xf numFmtId="0" fontId="33" fillId="3" borderId="0" xfId="0" applyFont="1" applyFill="1" applyProtection="1"/>
    <xf numFmtId="0" fontId="28" fillId="3" borderId="0" xfId="0" applyFont="1" applyFill="1" applyProtection="1"/>
    <xf numFmtId="0" fontId="31" fillId="5" borderId="11" xfId="0" applyFont="1" applyFill="1" applyBorder="1" applyAlignment="1" applyProtection="1">
      <alignment horizontal="center" wrapText="1"/>
    </xf>
    <xf numFmtId="0" fontId="31" fillId="5" borderId="12" xfId="0" applyFont="1" applyFill="1" applyBorder="1" applyAlignment="1" applyProtection="1">
      <alignment horizontal="center" wrapText="1"/>
    </xf>
    <xf numFmtId="0" fontId="31" fillId="5" borderId="13" xfId="0" applyFont="1" applyFill="1" applyBorder="1" applyAlignment="1" applyProtection="1">
      <alignment horizontal="center" wrapText="1"/>
    </xf>
    <xf numFmtId="0" fontId="31" fillId="5" borderId="8" xfId="0" applyFont="1" applyFill="1" applyBorder="1" applyAlignment="1" applyProtection="1">
      <alignment horizontal="center" wrapText="1"/>
    </xf>
    <xf numFmtId="0" fontId="31" fillId="5" borderId="14" xfId="0" applyFont="1" applyFill="1" applyBorder="1" applyAlignment="1" applyProtection="1">
      <alignment horizontal="center" wrapText="1"/>
    </xf>
    <xf numFmtId="0" fontId="34" fillId="5" borderId="12" xfId="0" applyFont="1" applyFill="1" applyBorder="1" applyAlignment="1" applyProtection="1">
      <alignment horizontal="center" wrapText="1"/>
    </xf>
    <xf numFmtId="0" fontId="34" fillId="5" borderId="15" xfId="0" applyFont="1" applyFill="1" applyBorder="1" applyAlignment="1" applyProtection="1">
      <alignment horizontal="center" wrapText="1"/>
    </xf>
    <xf numFmtId="0" fontId="28" fillId="0" borderId="16" xfId="0" applyFont="1" applyFill="1" applyBorder="1" applyProtection="1"/>
    <xf numFmtId="0" fontId="28" fillId="0" borderId="17" xfId="0" applyFont="1" applyFill="1" applyBorder="1" applyAlignment="1" applyProtection="1">
      <alignment horizontal="left" wrapText="1"/>
    </xf>
    <xf numFmtId="0" fontId="28" fillId="0" borderId="17" xfId="0" applyFont="1" applyFill="1" applyBorder="1" applyAlignment="1" applyProtection="1">
      <alignment wrapText="1"/>
    </xf>
    <xf numFmtId="0" fontId="28" fillId="0" borderId="17" xfId="0" quotePrefix="1" applyNumberFormat="1" applyFont="1" applyBorder="1" applyAlignment="1" applyProtection="1">
      <alignment horizontal="center"/>
    </xf>
    <xf numFmtId="0" fontId="28" fillId="0" borderId="18" xfId="0" quotePrefix="1" applyNumberFormat="1" applyFont="1" applyBorder="1" applyAlignment="1" applyProtection="1">
      <alignment horizontal="center"/>
    </xf>
    <xf numFmtId="0" fontId="31" fillId="3" borderId="19" xfId="0" applyFont="1" applyFill="1" applyBorder="1" applyProtection="1"/>
    <xf numFmtId="0" fontId="31" fillId="3" borderId="20" xfId="0" applyFont="1" applyFill="1" applyBorder="1" applyProtection="1"/>
    <xf numFmtId="166" fontId="31" fillId="3" borderId="20" xfId="0" applyNumberFormat="1" applyFont="1" applyFill="1" applyBorder="1" applyProtection="1"/>
    <xf numFmtId="166" fontId="31" fillId="3" borderId="18" xfId="0" applyNumberFormat="1" applyFont="1" applyFill="1" applyBorder="1" applyProtection="1"/>
    <xf numFmtId="0" fontId="31" fillId="3" borderId="21" xfId="0" applyFont="1" applyFill="1" applyBorder="1" applyAlignment="1" applyProtection="1">
      <alignment horizontal="center" wrapText="1"/>
    </xf>
    <xf numFmtId="0" fontId="31" fillId="3" borderId="22" xfId="0" applyFont="1" applyFill="1" applyBorder="1" applyAlignment="1" applyProtection="1">
      <alignment horizontal="center" wrapText="1"/>
    </xf>
    <xf numFmtId="0" fontId="28" fillId="3" borderId="18" xfId="0" applyFont="1" applyFill="1" applyBorder="1"/>
    <xf numFmtId="0" fontId="28" fillId="6" borderId="0" xfId="0" applyFont="1" applyFill="1" applyBorder="1" applyProtection="1"/>
    <xf numFmtId="0" fontId="28" fillId="0" borderId="0" xfId="0" applyFont="1" applyBorder="1"/>
    <xf numFmtId="43" fontId="35" fillId="0" borderId="23" xfId="1" applyFont="1" applyFill="1" applyBorder="1" applyAlignment="1" applyProtection="1">
      <protection locked="0"/>
    </xf>
    <xf numFmtId="43" fontId="35" fillId="0" borderId="23" xfId="1" applyFont="1" applyFill="1" applyBorder="1" applyProtection="1">
      <protection locked="0"/>
    </xf>
    <xf numFmtId="9" fontId="30" fillId="14" borderId="23" xfId="15" applyFont="1" applyFill="1" applyBorder="1" applyProtection="1">
      <protection locked="0"/>
    </xf>
    <xf numFmtId="0" fontId="28" fillId="0" borderId="0" xfId="0" applyFont="1" applyFill="1" applyBorder="1"/>
    <xf numFmtId="43" fontId="28" fillId="0" borderId="0" xfId="0" applyNumberFormat="1" applyFont="1" applyFill="1" applyBorder="1" applyAlignment="1">
      <alignment horizontal="left"/>
    </xf>
    <xf numFmtId="43" fontId="28" fillId="0" borderId="0" xfId="8" applyNumberFormat="1" applyFont="1" applyFill="1" applyBorder="1" applyAlignment="1">
      <alignment horizontal="right"/>
    </xf>
    <xf numFmtId="43" fontId="28" fillId="0" borderId="0" xfId="0" applyNumberFormat="1" applyFont="1" applyFill="1" applyBorder="1" applyAlignment="1"/>
    <xf numFmtId="43" fontId="28" fillId="0" borderId="0" xfId="8" applyNumberFormat="1" applyFont="1" applyFill="1" applyBorder="1" applyAlignment="1"/>
    <xf numFmtId="43" fontId="28" fillId="0" borderId="0" xfId="8" applyNumberFormat="1" applyFont="1" applyFill="1" applyBorder="1" applyAlignment="1">
      <alignment horizontal="left"/>
    </xf>
    <xf numFmtId="43" fontId="36" fillId="0" borderId="0" xfId="0" applyNumberFormat="1" applyFont="1" applyFill="1" applyBorder="1" applyAlignment="1"/>
    <xf numFmtId="164" fontId="28" fillId="0" borderId="0" xfId="0" applyNumberFormat="1" applyFont="1" applyFill="1" applyBorder="1"/>
    <xf numFmtId="0" fontId="5" fillId="0" borderId="23" xfId="0" applyFont="1" applyFill="1" applyBorder="1" applyProtection="1"/>
    <xf numFmtId="0" fontId="6" fillId="0" borderId="23" xfId="0" applyFont="1" applyFill="1" applyBorder="1" applyProtection="1"/>
    <xf numFmtId="0" fontId="5" fillId="0" borderId="23" xfId="1" applyNumberFormat="1" applyFont="1" applyFill="1" applyBorder="1" applyAlignment="1" applyProtection="1"/>
    <xf numFmtId="0" fontId="5" fillId="0" borderId="23" xfId="1" applyNumberFormat="1" applyFont="1" applyFill="1" applyBorder="1" applyAlignment="1" applyProtection="1">
      <alignment horizontal="left"/>
    </xf>
    <xf numFmtId="0" fontId="5" fillId="0" borderId="23" xfId="0" applyFont="1" applyFill="1" applyBorder="1" applyAlignment="1" applyProtection="1">
      <alignment horizontal="left"/>
    </xf>
    <xf numFmtId="0" fontId="6" fillId="0" borderId="23" xfId="0" applyFont="1" applyFill="1" applyBorder="1" applyAlignment="1" applyProtection="1">
      <alignment horizontal="left"/>
    </xf>
    <xf numFmtId="0" fontId="5" fillId="0" borderId="23" xfId="0" applyFont="1" applyFill="1" applyBorder="1" applyAlignment="1" applyProtection="1">
      <alignment horizontal="center"/>
    </xf>
    <xf numFmtId="0" fontId="6" fillId="0" borderId="23" xfId="0" applyFont="1" applyFill="1" applyBorder="1" applyAlignment="1" applyProtection="1">
      <alignment horizontal="center"/>
    </xf>
    <xf numFmtId="0" fontId="6" fillId="0" borderId="23" xfId="0" quotePrefix="1" applyFont="1" applyFill="1" applyBorder="1" applyAlignment="1" applyProtection="1">
      <alignment horizontal="center"/>
    </xf>
    <xf numFmtId="0" fontId="6" fillId="0" borderId="23" xfId="0" applyFont="1" applyFill="1" applyBorder="1" applyAlignment="1" applyProtection="1"/>
    <xf numFmtId="43" fontId="6" fillId="0" borderId="23" xfId="1" applyFont="1" applyFill="1" applyBorder="1"/>
    <xf numFmtId="0" fontId="6" fillId="0" borderId="2" xfId="0" applyFont="1" applyFill="1" applyBorder="1" applyProtection="1"/>
    <xf numFmtId="0" fontId="6" fillId="0" borderId="0" xfId="0" applyFont="1" applyFill="1" applyBorder="1" applyAlignment="1" applyProtection="1">
      <alignment horizontal="center"/>
    </xf>
    <xf numFmtId="0" fontId="6" fillId="0" borderId="0" xfId="0" applyFont="1" applyFill="1" applyBorder="1" applyProtection="1"/>
    <xf numFmtId="0" fontId="5" fillId="0" borderId="0" xfId="0" applyFont="1" applyFill="1" applyBorder="1" applyProtection="1"/>
    <xf numFmtId="0" fontId="6" fillId="0" borderId="0" xfId="0" quotePrefix="1" applyFont="1" applyFill="1" applyBorder="1" applyAlignment="1" applyProtection="1">
      <alignment horizontal="center"/>
    </xf>
    <xf numFmtId="0" fontId="6" fillId="0" borderId="0" xfId="0" applyFont="1" applyFill="1" applyBorder="1" applyAlignment="1">
      <alignment horizontal="center"/>
    </xf>
    <xf numFmtId="0" fontId="6" fillId="0" borderId="0" xfId="0" applyFont="1" applyFill="1" applyBorder="1"/>
    <xf numFmtId="0" fontId="37" fillId="0" borderId="23" xfId="0" applyFont="1" applyFill="1" applyBorder="1"/>
    <xf numFmtId="0" fontId="37" fillId="0" borderId="0" xfId="0" applyFont="1" applyFill="1" applyBorder="1" applyAlignment="1">
      <alignment wrapText="1"/>
    </xf>
    <xf numFmtId="0" fontId="37" fillId="0" borderId="0" xfId="0" applyFont="1" applyFill="1" applyBorder="1"/>
    <xf numFmtId="43" fontId="37" fillId="0" borderId="23" xfId="1" applyFont="1" applyFill="1" applyBorder="1"/>
    <xf numFmtId="0" fontId="37" fillId="0" borderId="23" xfId="0" applyFont="1" applyFill="1" applyBorder="1" applyAlignment="1" applyProtection="1">
      <alignment horizontal="left" vertical="top" wrapText="1"/>
    </xf>
    <xf numFmtId="0" fontId="6" fillId="0" borderId="0" xfId="0" applyFont="1" applyFill="1" applyBorder="1" applyAlignment="1">
      <alignment wrapText="1"/>
    </xf>
    <xf numFmtId="0" fontId="38" fillId="0" borderId="0" xfId="0" applyFont="1" applyFill="1" applyBorder="1"/>
    <xf numFmtId="43" fontId="37" fillId="0" borderId="0" xfId="0" applyNumberFormat="1" applyFont="1" applyFill="1" applyBorder="1"/>
    <xf numFmtId="43" fontId="37" fillId="0" borderId="0" xfId="1" applyFont="1" applyFill="1" applyBorder="1"/>
    <xf numFmtId="0" fontId="37" fillId="0" borderId="0" xfId="0" applyFont="1" applyFill="1" applyBorder="1" applyProtection="1"/>
    <xf numFmtId="0" fontId="38" fillId="0" borderId="0" xfId="0" applyFont="1" applyFill="1" applyBorder="1" applyAlignment="1" applyProtection="1">
      <alignment wrapText="1"/>
    </xf>
    <xf numFmtId="9" fontId="30" fillId="15" borderId="23" xfId="15" applyFont="1" applyFill="1" applyBorder="1" applyProtection="1">
      <protection locked="0"/>
    </xf>
    <xf numFmtId="0" fontId="30" fillId="0" borderId="7" xfId="0" applyFont="1" applyFill="1" applyBorder="1" applyAlignment="1" applyProtection="1">
      <alignment vertical="top" wrapText="1"/>
    </xf>
    <xf numFmtId="0" fontId="30" fillId="0" borderId="7" xfId="0" applyFont="1" applyFill="1" applyBorder="1" applyAlignment="1" applyProtection="1">
      <alignment horizontal="left" vertical="top" wrapText="1" indent="1"/>
    </xf>
    <xf numFmtId="0" fontId="33" fillId="3" borderId="2" xfId="0" applyFont="1" applyFill="1" applyBorder="1" applyAlignment="1" applyProtection="1">
      <alignment horizontal="center" wrapText="1"/>
    </xf>
    <xf numFmtId="0" fontId="33" fillId="3" borderId="0" xfId="0" applyFont="1" applyFill="1" applyBorder="1" applyAlignment="1" applyProtection="1">
      <alignment horizontal="center" wrapText="1"/>
    </xf>
    <xf numFmtId="0" fontId="30" fillId="0" borderId="7" xfId="0" applyFont="1" applyFill="1" applyBorder="1" applyAlignment="1" applyProtection="1">
      <alignment horizontal="left" vertical="top" indent="1"/>
    </xf>
    <xf numFmtId="0" fontId="29" fillId="0" borderId="0" xfId="0" applyFont="1" applyAlignment="1"/>
    <xf numFmtId="0" fontId="30" fillId="0" borderId="7" xfId="0" applyFont="1" applyFill="1" applyBorder="1" applyAlignment="1" applyProtection="1">
      <alignment vertical="top"/>
    </xf>
    <xf numFmtId="0" fontId="29" fillId="0" borderId="7" xfId="0" applyFont="1" applyFill="1" applyBorder="1" applyAlignment="1" applyProtection="1">
      <alignment vertical="top"/>
    </xf>
    <xf numFmtId="0" fontId="30" fillId="0" borderId="7" xfId="0" applyFont="1" applyFill="1" applyBorder="1" applyProtection="1"/>
    <xf numFmtId="0" fontId="28" fillId="0" borderId="24" xfId="0" applyFont="1" applyFill="1" applyBorder="1" applyProtection="1"/>
    <xf numFmtId="43" fontId="30" fillId="16" borderId="23" xfId="1" applyFont="1" applyFill="1" applyBorder="1" applyProtection="1">
      <protection locked="0"/>
    </xf>
    <xf numFmtId="43" fontId="30" fillId="16" borderId="25" xfId="1" applyFont="1" applyFill="1" applyBorder="1" applyAlignment="1" applyProtection="1">
      <alignment horizontal="right"/>
      <protection locked="0"/>
    </xf>
    <xf numFmtId="43" fontId="30" fillId="15" borderId="23" xfId="1" applyFont="1" applyFill="1" applyBorder="1" applyAlignment="1" applyProtection="1">
      <protection locked="0"/>
    </xf>
    <xf numFmtId="43" fontId="30" fillId="16" borderId="26" xfId="1" applyFont="1" applyFill="1" applyBorder="1" applyAlignment="1" applyProtection="1">
      <alignment horizontal="center" wrapText="1"/>
      <protection locked="0"/>
    </xf>
    <xf numFmtId="43" fontId="30" fillId="16" borderId="26" xfId="4" applyFont="1" applyFill="1" applyBorder="1" applyAlignment="1" applyProtection="1">
      <alignment horizontal="center" wrapText="1"/>
      <protection locked="0"/>
    </xf>
    <xf numFmtId="43" fontId="29" fillId="16" borderId="23" xfId="1" applyFont="1" applyFill="1" applyBorder="1" applyAlignment="1" applyProtection="1">
      <protection locked="0"/>
    </xf>
    <xf numFmtId="43" fontId="29" fillId="16" borderId="0" xfId="1" applyFont="1" applyFill="1" applyBorder="1" applyProtection="1">
      <protection locked="0"/>
    </xf>
    <xf numFmtId="43" fontId="29" fillId="16" borderId="23" xfId="1" applyFont="1" applyFill="1" applyBorder="1" applyAlignment="1" applyProtection="1">
      <alignment horizontal="left"/>
      <protection locked="0"/>
    </xf>
    <xf numFmtId="43" fontId="30" fillId="16" borderId="23" xfId="1" applyFont="1" applyFill="1" applyBorder="1" applyAlignment="1" applyProtection="1">
      <alignment horizontal="center"/>
      <protection locked="0"/>
    </xf>
    <xf numFmtId="43" fontId="30" fillId="16" borderId="26" xfId="1" applyFont="1" applyFill="1" applyBorder="1" applyAlignment="1" applyProtection="1">
      <protection locked="0"/>
    </xf>
    <xf numFmtId="43" fontId="30" fillId="16" borderId="25" xfId="1" applyFont="1" applyFill="1" applyBorder="1" applyAlignment="1" applyProtection="1">
      <alignment horizontal="left"/>
      <protection locked="0"/>
    </xf>
    <xf numFmtId="43" fontId="30" fillId="16" borderId="23" xfId="1" applyFont="1" applyFill="1" applyBorder="1" applyAlignment="1" applyProtection="1">
      <alignment horizontal="right"/>
      <protection locked="0"/>
    </xf>
    <xf numFmtId="43" fontId="29" fillId="16" borderId="25" xfId="1" applyFont="1" applyFill="1" applyBorder="1" applyAlignment="1" applyProtection="1">
      <protection locked="0"/>
    </xf>
    <xf numFmtId="43" fontId="30" fillId="16" borderId="25" xfId="1" applyFont="1" applyFill="1" applyBorder="1" applyAlignment="1" applyProtection="1">
      <protection locked="0"/>
    </xf>
    <xf numFmtId="43" fontId="30" fillId="16" borderId="23" xfId="1" applyFont="1" applyFill="1" applyBorder="1" applyAlignment="1" applyProtection="1">
      <alignment horizontal="left"/>
      <protection locked="0"/>
    </xf>
    <xf numFmtId="43" fontId="30" fillId="16" borderId="27" xfId="1" applyFont="1" applyFill="1" applyBorder="1" applyAlignment="1" applyProtection="1">
      <protection locked="0"/>
    </xf>
    <xf numFmtId="43" fontId="30" fillId="16" borderId="28" xfId="1" applyFont="1" applyFill="1" applyBorder="1" applyAlignment="1" applyProtection="1">
      <alignment horizontal="right"/>
      <protection locked="0"/>
    </xf>
    <xf numFmtId="43" fontId="30" fillId="16" borderId="23" xfId="1" applyFont="1" applyFill="1" applyBorder="1" applyAlignment="1" applyProtection="1">
      <protection locked="0"/>
    </xf>
    <xf numFmtId="43" fontId="30" fillId="16" borderId="29" xfId="1" applyFont="1" applyFill="1" applyBorder="1" applyProtection="1">
      <protection locked="0"/>
    </xf>
    <xf numFmtId="43" fontId="29" fillId="16" borderId="23" xfId="1" applyFont="1" applyFill="1" applyBorder="1" applyAlignment="1" applyProtection="1"/>
    <xf numFmtId="43" fontId="35" fillId="0" borderId="23" xfId="1" applyFont="1" applyFill="1" applyBorder="1" applyAlignment="1" applyProtection="1"/>
    <xf numFmtId="43" fontId="30" fillId="15" borderId="23" xfId="1" applyFont="1" applyFill="1" applyBorder="1" applyAlignment="1" applyProtection="1">
      <alignment horizontal="center"/>
    </xf>
    <xf numFmtId="43" fontId="30" fillId="16" borderId="23" xfId="1" applyFont="1" applyFill="1" applyBorder="1" applyAlignment="1" applyProtection="1">
      <alignment horizontal="right"/>
    </xf>
    <xf numFmtId="43" fontId="30" fillId="16" borderId="28" xfId="1" applyFont="1" applyFill="1" applyBorder="1" applyAlignment="1" applyProtection="1">
      <alignment horizontal="right"/>
    </xf>
    <xf numFmtId="43" fontId="30" fillId="16" borderId="23" xfId="1" applyFont="1" applyFill="1" applyBorder="1" applyAlignment="1" applyProtection="1"/>
    <xf numFmtId="43" fontId="30" fillId="16" borderId="29" xfId="1" applyFont="1" applyFill="1" applyBorder="1" applyProtection="1"/>
    <xf numFmtId="0" fontId="11" fillId="0" borderId="0" xfId="14" applyFont="1" applyFill="1" applyBorder="1"/>
    <xf numFmtId="43" fontId="10" fillId="0" borderId="0" xfId="7" applyFont="1" applyFill="1" applyBorder="1"/>
    <xf numFmtId="43" fontId="29" fillId="16" borderId="0" xfId="1" applyFont="1" applyFill="1" applyBorder="1" applyAlignment="1" applyProtection="1">
      <alignment horizontal="left"/>
      <protection locked="0"/>
    </xf>
    <xf numFmtId="0" fontId="2" fillId="0" borderId="0" xfId="0" applyFont="1"/>
    <xf numFmtId="167" fontId="39" fillId="0" borderId="0" xfId="1" applyNumberFormat="1" applyFont="1" applyFill="1" applyProtection="1">
      <protection locked="0"/>
    </xf>
    <xf numFmtId="0" fontId="30" fillId="0" borderId="0" xfId="0" applyFont="1" applyFill="1" applyBorder="1" applyProtection="1">
      <protection locked="0"/>
    </xf>
    <xf numFmtId="0" fontId="29" fillId="0" borderId="0" xfId="0" applyFont="1" applyFill="1" applyProtection="1">
      <protection locked="0"/>
    </xf>
    <xf numFmtId="167" fontId="29" fillId="0" borderId="0" xfId="1" applyNumberFormat="1" applyFont="1" applyFill="1" applyProtection="1">
      <protection locked="0"/>
    </xf>
    <xf numFmtId="0" fontId="29" fillId="0" borderId="0" xfId="0" applyFont="1" applyFill="1" applyBorder="1" applyProtection="1">
      <protection locked="0"/>
    </xf>
    <xf numFmtId="0" fontId="30" fillId="16" borderId="23" xfId="0" applyFont="1" applyFill="1" applyBorder="1" applyAlignment="1" applyProtection="1">
      <alignment horizontal="right"/>
      <protection locked="0"/>
    </xf>
    <xf numFmtId="9" fontId="29" fillId="16" borderId="0" xfId="15" applyFont="1" applyFill="1" applyBorder="1" applyProtection="1">
      <protection locked="0"/>
    </xf>
    <xf numFmtId="43" fontId="35" fillId="0" borderId="0" xfId="1" applyFont="1" applyFill="1" applyBorder="1" applyProtection="1">
      <protection locked="0"/>
    </xf>
    <xf numFmtId="43" fontId="29" fillId="16" borderId="30" xfId="1" applyFont="1" applyFill="1" applyBorder="1" applyProtection="1">
      <protection locked="0"/>
    </xf>
    <xf numFmtId="43" fontId="29" fillId="16" borderId="22" xfId="1" applyFont="1" applyFill="1" applyBorder="1" applyProtection="1">
      <protection locked="0"/>
    </xf>
    <xf numFmtId="43" fontId="29" fillId="16" borderId="31" xfId="1" applyFont="1" applyFill="1" applyBorder="1" applyProtection="1">
      <protection locked="0"/>
    </xf>
    <xf numFmtId="43" fontId="35" fillId="0" borderId="22" xfId="1" applyFont="1" applyFill="1" applyBorder="1" applyProtection="1">
      <protection locked="0"/>
    </xf>
    <xf numFmtId="9" fontId="29" fillId="16" borderId="32" xfId="15" applyFont="1" applyFill="1" applyBorder="1" applyProtection="1">
      <protection locked="0"/>
    </xf>
    <xf numFmtId="43" fontId="29" fillId="16" borderId="25" xfId="1" applyFont="1" applyFill="1" applyBorder="1" applyProtection="1">
      <protection locked="0"/>
    </xf>
    <xf numFmtId="43" fontId="29" fillId="16" borderId="23" xfId="1" applyFont="1" applyFill="1" applyBorder="1" applyProtection="1">
      <protection locked="0"/>
    </xf>
    <xf numFmtId="43" fontId="29" fillId="16" borderId="33" xfId="1" applyFont="1" applyFill="1" applyBorder="1" applyProtection="1">
      <protection locked="0"/>
    </xf>
    <xf numFmtId="9" fontId="29" fillId="16" borderId="34" xfId="15" applyFont="1" applyFill="1" applyBorder="1" applyProtection="1">
      <protection locked="0"/>
    </xf>
    <xf numFmtId="0" fontId="29" fillId="16" borderId="35" xfId="0" applyFont="1" applyFill="1" applyBorder="1" applyAlignment="1" applyProtection="1">
      <protection locked="0"/>
    </xf>
    <xf numFmtId="43" fontId="40" fillId="0" borderId="36" xfId="1" applyFont="1" applyFill="1" applyBorder="1" applyAlignment="1" applyProtection="1">
      <alignment horizontal="center" wrapText="1"/>
      <protection locked="0"/>
    </xf>
    <xf numFmtId="9" fontId="30" fillId="16" borderId="33" xfId="15" applyFont="1" applyFill="1" applyBorder="1" applyAlignment="1" applyProtection="1">
      <alignment horizontal="center" wrapText="1"/>
      <protection locked="0"/>
    </xf>
    <xf numFmtId="43" fontId="30" fillId="16" borderId="25" xfId="1" applyFont="1" applyFill="1" applyBorder="1" applyAlignment="1" applyProtection="1">
      <alignment horizontal="center" wrapText="1"/>
      <protection locked="0"/>
    </xf>
    <xf numFmtId="43" fontId="30" fillId="16" borderId="23" xfId="1" applyFont="1" applyFill="1" applyBorder="1" applyAlignment="1" applyProtection="1">
      <alignment horizontal="center" wrapText="1"/>
      <protection locked="0"/>
    </xf>
    <xf numFmtId="43" fontId="30" fillId="16" borderId="33" xfId="1" applyFont="1" applyFill="1" applyBorder="1" applyAlignment="1" applyProtection="1">
      <alignment horizontal="center" wrapText="1"/>
      <protection locked="0"/>
    </xf>
    <xf numFmtId="43" fontId="40" fillId="0" borderId="23" xfId="1" applyFont="1" applyFill="1" applyBorder="1" applyAlignment="1" applyProtection="1">
      <alignment horizontal="center" wrapText="1"/>
      <protection locked="0"/>
    </xf>
    <xf numFmtId="9" fontId="30" fillId="16" borderId="34" xfId="15" applyFont="1" applyFill="1" applyBorder="1" applyAlignment="1" applyProtection="1">
      <alignment horizontal="center" wrapText="1"/>
      <protection locked="0"/>
    </xf>
    <xf numFmtId="44" fontId="29" fillId="0" borderId="0" xfId="8" applyFont="1" applyFill="1" applyProtection="1">
      <protection locked="0"/>
    </xf>
    <xf numFmtId="43" fontId="29" fillId="16" borderId="37" xfId="0" applyNumberFormat="1" applyFont="1" applyFill="1" applyBorder="1" applyAlignment="1" applyProtection="1">
      <protection locked="0"/>
    </xf>
    <xf numFmtId="9" fontId="29" fillId="16" borderId="33" xfId="15" applyFont="1" applyFill="1" applyBorder="1" applyProtection="1">
      <protection locked="0"/>
    </xf>
    <xf numFmtId="167" fontId="29" fillId="16" borderId="0" xfId="1" applyNumberFormat="1" applyFont="1" applyFill="1" applyProtection="1">
      <protection locked="0"/>
    </xf>
    <xf numFmtId="43" fontId="29" fillId="16" borderId="37" xfId="0" applyNumberFormat="1" applyFont="1" applyFill="1" applyBorder="1" applyAlignment="1" applyProtection="1">
      <alignment horizontal="left"/>
      <protection locked="0"/>
    </xf>
    <xf numFmtId="168" fontId="29" fillId="16" borderId="38" xfId="15" applyNumberFormat="1" applyFont="1" applyFill="1" applyBorder="1" applyProtection="1">
      <protection locked="0"/>
    </xf>
    <xf numFmtId="43" fontId="29" fillId="16" borderId="38" xfId="1" applyFont="1" applyFill="1" applyBorder="1" applyProtection="1">
      <protection locked="0"/>
    </xf>
    <xf numFmtId="0" fontId="29" fillId="16" borderId="0" xfId="0" applyFont="1" applyFill="1" applyBorder="1" applyProtection="1">
      <protection locked="0"/>
    </xf>
    <xf numFmtId="0" fontId="29" fillId="16" borderId="0" xfId="0" applyFont="1" applyFill="1" applyProtection="1">
      <protection locked="0"/>
    </xf>
    <xf numFmtId="167" fontId="39" fillId="16" borderId="0" xfId="1" applyNumberFormat="1" applyFont="1" applyFill="1" applyProtection="1">
      <protection locked="0"/>
    </xf>
    <xf numFmtId="43" fontId="30" fillId="16" borderId="37" xfId="8" applyNumberFormat="1" applyFont="1" applyFill="1" applyBorder="1" applyAlignment="1" applyProtection="1">
      <alignment horizontal="right"/>
      <protection locked="0"/>
    </xf>
    <xf numFmtId="43" fontId="30" fillId="16" borderId="33" xfId="1" applyFont="1" applyFill="1" applyBorder="1" applyAlignment="1" applyProtection="1">
      <alignment horizontal="center"/>
      <protection locked="0"/>
    </xf>
    <xf numFmtId="9" fontId="30" fillId="16" borderId="34" xfId="15" applyFont="1" applyFill="1" applyBorder="1" applyProtection="1">
      <protection locked="0"/>
    </xf>
    <xf numFmtId="44" fontId="29" fillId="16" borderId="0" xfId="8" applyFont="1" applyFill="1" applyProtection="1">
      <protection locked="0"/>
    </xf>
    <xf numFmtId="43" fontId="30" fillId="16" borderId="39" xfId="0" applyNumberFormat="1" applyFont="1" applyFill="1" applyBorder="1" applyAlignment="1" applyProtection="1">
      <protection locked="0"/>
    </xf>
    <xf numFmtId="43" fontId="35" fillId="0" borderId="36" xfId="1" applyFont="1" applyFill="1" applyBorder="1" applyAlignment="1" applyProtection="1">
      <protection locked="0"/>
    </xf>
    <xf numFmtId="43" fontId="29" fillId="16" borderId="23" xfId="1" applyFont="1" applyFill="1" applyBorder="1" applyAlignment="1" applyProtection="1">
      <alignment horizontal="right"/>
      <protection locked="0"/>
    </xf>
    <xf numFmtId="43" fontId="29" fillId="16" borderId="33" xfId="1" applyFont="1" applyFill="1" applyBorder="1" applyAlignment="1" applyProtection="1">
      <alignment horizontal="right"/>
      <protection locked="0"/>
    </xf>
    <xf numFmtId="43" fontId="35" fillId="0" borderId="23" xfId="1" applyFont="1" applyFill="1" applyBorder="1" applyAlignment="1" applyProtection="1">
      <alignment horizontal="right"/>
      <protection locked="0"/>
    </xf>
    <xf numFmtId="9" fontId="30" fillId="16" borderId="34" xfId="15" applyFont="1" applyFill="1" applyBorder="1" applyAlignment="1" applyProtection="1">
      <alignment horizontal="right"/>
      <protection locked="0"/>
    </xf>
    <xf numFmtId="43" fontId="30" fillId="16" borderId="39" xfId="0" applyNumberFormat="1" applyFont="1" applyFill="1" applyBorder="1" applyAlignment="1" applyProtection="1">
      <alignment horizontal="left"/>
      <protection locked="0"/>
    </xf>
    <xf numFmtId="43" fontId="40" fillId="0" borderId="23" xfId="1" applyFont="1" applyFill="1" applyBorder="1" applyAlignment="1" applyProtection="1">
      <alignment horizontal="left"/>
      <protection locked="0"/>
    </xf>
    <xf numFmtId="43" fontId="29" fillId="16" borderId="39" xfId="0" applyNumberFormat="1" applyFont="1" applyFill="1" applyBorder="1" applyAlignment="1" applyProtection="1">
      <protection locked="0"/>
    </xf>
    <xf numFmtId="43" fontId="30" fillId="16" borderId="39" xfId="8" applyNumberFormat="1" applyFont="1" applyFill="1" applyBorder="1" applyAlignment="1" applyProtection="1">
      <protection locked="0"/>
    </xf>
    <xf numFmtId="43" fontId="30" fillId="16" borderId="33" xfId="1" applyFont="1" applyFill="1" applyBorder="1" applyAlignment="1" applyProtection="1">
      <alignment horizontal="right"/>
      <protection locked="0"/>
    </xf>
    <xf numFmtId="44" fontId="30" fillId="16" borderId="0" xfId="8" applyFont="1" applyFill="1" applyProtection="1">
      <protection locked="0"/>
    </xf>
    <xf numFmtId="167" fontId="4" fillId="0" borderId="0" xfId="3" applyNumberFormat="1" applyFont="1" applyFill="1" applyProtection="1">
      <protection locked="0"/>
    </xf>
    <xf numFmtId="44" fontId="30" fillId="0" borderId="0" xfId="8" applyFont="1" applyFill="1" applyProtection="1">
      <protection locked="0"/>
    </xf>
    <xf numFmtId="9" fontId="29" fillId="16" borderId="34" xfId="15" applyFont="1" applyFill="1" applyBorder="1" applyAlignment="1" applyProtection="1">
      <alignment horizontal="right"/>
      <protection locked="0"/>
    </xf>
    <xf numFmtId="43" fontId="30" fillId="16" borderId="39" xfId="8" applyNumberFormat="1" applyFont="1" applyFill="1" applyBorder="1" applyAlignment="1" applyProtection="1">
      <alignment horizontal="left"/>
      <protection locked="0"/>
    </xf>
    <xf numFmtId="43" fontId="29" fillId="16" borderId="40" xfId="0" applyNumberFormat="1" applyFont="1" applyFill="1" applyBorder="1" applyAlignment="1" applyProtection="1">
      <protection locked="0"/>
    </xf>
    <xf numFmtId="43" fontId="30" fillId="16" borderId="37" xfId="0" applyNumberFormat="1" applyFont="1" applyFill="1" applyBorder="1" applyAlignment="1" applyProtection="1">
      <alignment horizontal="left"/>
      <protection locked="0"/>
    </xf>
    <xf numFmtId="43" fontId="30" fillId="16" borderId="37" xfId="8" applyNumberFormat="1" applyFont="1" applyFill="1" applyBorder="1" applyAlignment="1" applyProtection="1">
      <protection locked="0"/>
    </xf>
    <xf numFmtId="167" fontId="41" fillId="16" borderId="0" xfId="1" applyNumberFormat="1" applyFont="1" applyFill="1" applyProtection="1">
      <protection locked="0"/>
    </xf>
    <xf numFmtId="43" fontId="35" fillId="16" borderId="23" xfId="1" applyFont="1" applyFill="1" applyBorder="1" applyAlignment="1" applyProtection="1">
      <protection locked="0"/>
    </xf>
    <xf numFmtId="43" fontId="35" fillId="16" borderId="23" xfId="1" applyFont="1" applyFill="1" applyBorder="1" applyAlignment="1" applyProtection="1">
      <alignment horizontal="right"/>
      <protection locked="0"/>
    </xf>
    <xf numFmtId="0" fontId="30" fillId="16" borderId="0" xfId="0" applyFont="1" applyFill="1" applyProtection="1">
      <protection locked="0"/>
    </xf>
    <xf numFmtId="43" fontId="42" fillId="16" borderId="41" xfId="0" applyNumberFormat="1" applyFont="1" applyFill="1" applyBorder="1" applyAlignment="1" applyProtection="1">
      <protection locked="0"/>
    </xf>
    <xf numFmtId="43" fontId="42" fillId="16" borderId="27" xfId="1" applyFont="1" applyFill="1" applyBorder="1" applyAlignment="1" applyProtection="1">
      <protection locked="0"/>
    </xf>
    <xf numFmtId="43" fontId="29" fillId="16" borderId="28" xfId="1" applyFont="1" applyFill="1" applyBorder="1" applyAlignment="1" applyProtection="1">
      <alignment horizontal="right"/>
      <protection locked="0"/>
    </xf>
    <xf numFmtId="43" fontId="29" fillId="16" borderId="42" xfId="1" applyFont="1" applyFill="1" applyBorder="1" applyAlignment="1" applyProtection="1">
      <alignment horizontal="right"/>
      <protection locked="0"/>
    </xf>
    <xf numFmtId="43" fontId="30" fillId="16" borderId="41" xfId="0" applyNumberFormat="1" applyFont="1" applyFill="1" applyBorder="1" applyAlignment="1" applyProtection="1">
      <protection locked="0"/>
    </xf>
    <xf numFmtId="43" fontId="35" fillId="0" borderId="28" xfId="1" applyFont="1" applyFill="1" applyBorder="1" applyAlignment="1" applyProtection="1">
      <alignment horizontal="right"/>
      <protection locked="0"/>
    </xf>
    <xf numFmtId="167" fontId="30" fillId="16" borderId="0" xfId="1" applyNumberFormat="1" applyFont="1" applyFill="1" applyProtection="1">
      <protection locked="0"/>
    </xf>
    <xf numFmtId="43" fontId="30" fillId="16" borderId="41" xfId="8" applyNumberFormat="1" applyFont="1" applyFill="1" applyBorder="1" applyAlignment="1" applyProtection="1">
      <protection locked="0"/>
    </xf>
    <xf numFmtId="43" fontId="30" fillId="16" borderId="42" xfId="1" applyFont="1" applyFill="1" applyBorder="1" applyAlignment="1" applyProtection="1">
      <alignment horizontal="right"/>
      <protection locked="0"/>
    </xf>
    <xf numFmtId="167" fontId="30" fillId="0" borderId="0" xfId="1" applyNumberFormat="1" applyFont="1" applyFill="1" applyProtection="1">
      <protection locked="0"/>
    </xf>
    <xf numFmtId="43" fontId="40" fillId="0" borderId="23" xfId="1" applyFont="1" applyFill="1" applyBorder="1" applyAlignment="1" applyProtection="1">
      <protection locked="0"/>
    </xf>
    <xf numFmtId="43" fontId="30" fillId="16" borderId="33" xfId="1" applyFont="1" applyFill="1" applyBorder="1" applyProtection="1">
      <protection locked="0"/>
    </xf>
    <xf numFmtId="43" fontId="40" fillId="0" borderId="23" xfId="1" applyFont="1" applyFill="1" applyBorder="1" applyProtection="1">
      <protection locked="0"/>
    </xf>
    <xf numFmtId="0" fontId="30" fillId="0" borderId="0" xfId="0" applyFont="1" applyFill="1" applyProtection="1">
      <protection locked="0"/>
    </xf>
    <xf numFmtId="43" fontId="29" fillId="16" borderId="25" xfId="1" applyFont="1" applyFill="1" applyBorder="1" applyAlignment="1" applyProtection="1">
      <alignment horizontal="left"/>
      <protection locked="0"/>
    </xf>
    <xf numFmtId="43" fontId="35" fillId="16" borderId="23" xfId="1" applyFont="1" applyFill="1" applyBorder="1" applyProtection="1">
      <protection locked="0"/>
    </xf>
    <xf numFmtId="43" fontId="30" fillId="16" borderId="43" xfId="8" applyNumberFormat="1" applyFont="1" applyFill="1" applyBorder="1" applyAlignment="1" applyProtection="1">
      <protection locked="0"/>
    </xf>
    <xf numFmtId="9" fontId="30" fillId="16" borderId="44" xfId="15" applyFont="1" applyFill="1" applyBorder="1" applyProtection="1">
      <protection locked="0"/>
    </xf>
    <xf numFmtId="167" fontId="29" fillId="0" borderId="0" xfId="1" applyNumberFormat="1" applyFont="1" applyFill="1" applyBorder="1" applyProtection="1">
      <protection locked="0"/>
    </xf>
    <xf numFmtId="0" fontId="29" fillId="16" borderId="0" xfId="0" applyFont="1" applyFill="1" applyBorder="1" applyAlignment="1" applyProtection="1">
      <protection locked="0"/>
    </xf>
    <xf numFmtId="43" fontId="29" fillId="16" borderId="0" xfId="1" applyFont="1" applyFill="1" applyBorder="1" applyAlignment="1" applyProtection="1">
      <protection locked="0"/>
    </xf>
    <xf numFmtId="0" fontId="43" fillId="16" borderId="0" xfId="0" applyFont="1" applyFill="1" applyBorder="1" applyProtection="1">
      <protection locked="0"/>
    </xf>
    <xf numFmtId="43" fontId="43" fillId="16" borderId="0" xfId="1" applyFont="1" applyFill="1" applyBorder="1" applyProtection="1">
      <protection locked="0"/>
    </xf>
    <xf numFmtId="43" fontId="29" fillId="16" borderId="0" xfId="4" applyFont="1" applyFill="1" applyBorder="1" applyProtection="1">
      <protection locked="0"/>
    </xf>
    <xf numFmtId="9" fontId="29" fillId="16" borderId="0" xfId="18" applyFont="1" applyFill="1" applyBorder="1" applyProtection="1">
      <protection locked="0"/>
    </xf>
    <xf numFmtId="43" fontId="29" fillId="16" borderId="0" xfId="4" applyFont="1" applyFill="1" applyBorder="1" applyAlignment="1" applyProtection="1">
      <protection locked="0"/>
    </xf>
    <xf numFmtId="43" fontId="35" fillId="0" borderId="0" xfId="1" applyFont="1" applyFill="1" applyBorder="1" applyAlignment="1" applyProtection="1">
      <protection locked="0"/>
    </xf>
    <xf numFmtId="165" fontId="29" fillId="16" borderId="0" xfId="1" applyNumberFormat="1" applyFont="1" applyFill="1" applyBorder="1" applyAlignment="1" applyProtection="1">
      <protection locked="0"/>
    </xf>
    <xf numFmtId="3" fontId="30" fillId="0" borderId="0" xfId="0" applyNumberFormat="1" applyFont="1" applyFill="1" applyBorder="1" applyProtection="1">
      <protection locked="0"/>
    </xf>
    <xf numFmtId="43" fontId="29" fillId="16" borderId="0" xfId="1" applyFont="1" applyFill="1" applyProtection="1">
      <protection locked="0"/>
    </xf>
    <xf numFmtId="43" fontId="35" fillId="0" borderId="0" xfId="1" applyFont="1" applyFill="1" applyProtection="1">
      <protection locked="0"/>
    </xf>
    <xf numFmtId="9" fontId="29" fillId="16" borderId="0" xfId="15" applyFont="1" applyFill="1" applyProtection="1">
      <protection locked="0"/>
    </xf>
    <xf numFmtId="165" fontId="28" fillId="0" borderId="17" xfId="3" applyNumberFormat="1" applyFont="1" applyFill="1" applyBorder="1" applyProtection="1"/>
    <xf numFmtId="166" fontId="29" fillId="4" borderId="3" xfId="10" applyNumberFormat="1" applyFont="1" applyFill="1" applyBorder="1" applyAlignment="1" applyProtection="1">
      <alignment vertical="top"/>
    </xf>
    <xf numFmtId="167" fontId="30" fillId="16" borderId="0" xfId="1" applyNumberFormat="1" applyFont="1" applyFill="1" applyBorder="1" applyProtection="1">
      <protection locked="0"/>
    </xf>
    <xf numFmtId="43" fontId="29" fillId="16" borderId="28" xfId="1" applyFont="1" applyFill="1" applyBorder="1" applyAlignment="1" applyProtection="1">
      <alignment horizontal="left"/>
      <protection locked="0"/>
    </xf>
    <xf numFmtId="0" fontId="10" fillId="0" borderId="0" xfId="14" applyFont="1"/>
    <xf numFmtId="0" fontId="10" fillId="0" borderId="0" xfId="14" applyFont="1" applyAlignment="1">
      <alignment wrapText="1"/>
    </xf>
    <xf numFmtId="9" fontId="10" fillId="0" borderId="0" xfId="20" applyFont="1"/>
    <xf numFmtId="0" fontId="10" fillId="0" borderId="0" xfId="14" applyFont="1" applyFill="1"/>
    <xf numFmtId="10" fontId="10" fillId="0" borderId="0" xfId="20" applyNumberFormat="1" applyFont="1"/>
    <xf numFmtId="43" fontId="10" fillId="0" borderId="0" xfId="7" applyFont="1"/>
    <xf numFmtId="164" fontId="10" fillId="0" borderId="0" xfId="14" applyNumberFormat="1" applyFont="1"/>
    <xf numFmtId="43" fontId="10" fillId="0" borderId="0" xfId="7" applyFont="1" applyAlignment="1">
      <alignment wrapText="1"/>
    </xf>
    <xf numFmtId="43" fontId="10" fillId="0" borderId="45" xfId="7" applyFont="1" applyBorder="1"/>
    <xf numFmtId="43" fontId="10" fillId="16" borderId="0" xfId="7" applyFont="1" applyFill="1"/>
    <xf numFmtId="10" fontId="10" fillId="0" borderId="18" xfId="20" applyNumberFormat="1" applyFont="1" applyFill="1" applyBorder="1"/>
    <xf numFmtId="43" fontId="10" fillId="8" borderId="45" xfId="7" applyFont="1" applyFill="1" applyBorder="1"/>
    <xf numFmtId="10" fontId="10" fillId="0" borderId="18" xfId="20" applyNumberFormat="1" applyFont="1" applyBorder="1"/>
    <xf numFmtId="43" fontId="10" fillId="17" borderId="20" xfId="7" applyFont="1" applyFill="1" applyBorder="1"/>
    <xf numFmtId="43" fontId="10" fillId="0" borderId="19" xfId="7" applyFont="1" applyBorder="1"/>
    <xf numFmtId="43" fontId="11" fillId="18" borderId="20" xfId="7" applyFont="1" applyFill="1" applyBorder="1"/>
    <xf numFmtId="43" fontId="11" fillId="9" borderId="19" xfId="7" applyFont="1" applyFill="1" applyBorder="1"/>
    <xf numFmtId="0" fontId="11" fillId="0" borderId="0" xfId="14" applyFont="1"/>
    <xf numFmtId="10" fontId="10" fillId="0" borderId="46" xfId="20" applyNumberFormat="1" applyFont="1" applyBorder="1"/>
    <xf numFmtId="43" fontId="10" fillId="0" borderId="40" xfId="7" applyFont="1" applyBorder="1"/>
    <xf numFmtId="43" fontId="10" fillId="0" borderId="0" xfId="7" applyFont="1" applyBorder="1"/>
    <xf numFmtId="43" fontId="10" fillId="18" borderId="0" xfId="7" applyFont="1" applyFill="1" applyBorder="1"/>
    <xf numFmtId="43" fontId="10" fillId="9" borderId="40" xfId="7" applyFont="1" applyFill="1" applyBorder="1"/>
    <xf numFmtId="43" fontId="10" fillId="0" borderId="40" xfId="7" applyFont="1" applyFill="1" applyBorder="1"/>
    <xf numFmtId="43" fontId="11" fillId="18" borderId="0" xfId="7" applyFont="1" applyFill="1" applyBorder="1"/>
    <xf numFmtId="43" fontId="11" fillId="9" borderId="40" xfId="7" applyFont="1" applyFill="1" applyBorder="1"/>
    <xf numFmtId="43" fontId="10" fillId="0" borderId="0" xfId="14" applyNumberFormat="1" applyFont="1" applyFill="1"/>
    <xf numFmtId="43" fontId="10" fillId="18" borderId="46" xfId="7" applyFont="1" applyFill="1" applyBorder="1"/>
    <xf numFmtId="0" fontId="11" fillId="0" borderId="0" xfId="14" applyFont="1" applyAlignment="1">
      <alignment wrapText="1"/>
    </xf>
    <xf numFmtId="10" fontId="11" fillId="0" borderId="47" xfId="20" applyNumberFormat="1" applyFont="1" applyBorder="1"/>
    <xf numFmtId="43" fontId="11" fillId="0" borderId="48" xfId="7" applyFont="1" applyBorder="1"/>
    <xf numFmtId="10" fontId="11" fillId="0" borderId="47" xfId="20" applyNumberFormat="1" applyFont="1" applyFill="1" applyBorder="1"/>
    <xf numFmtId="43" fontId="11" fillId="0" borderId="49" xfId="7" applyFont="1" applyBorder="1"/>
    <xf numFmtId="43" fontId="11" fillId="18" borderId="47" xfId="7" applyFont="1" applyFill="1" applyBorder="1"/>
    <xf numFmtId="43" fontId="11" fillId="18" borderId="49" xfId="7" applyFont="1" applyFill="1" applyBorder="1"/>
    <xf numFmtId="43" fontId="11" fillId="9" borderId="48" xfId="7" applyFont="1" applyFill="1" applyBorder="1"/>
    <xf numFmtId="0" fontId="11" fillId="0" borderId="49" xfId="14" applyFont="1" applyBorder="1" applyAlignment="1">
      <alignment horizontal="center"/>
    </xf>
    <xf numFmtId="43" fontId="10" fillId="19" borderId="0" xfId="7" applyFont="1" applyFill="1" applyBorder="1"/>
    <xf numFmtId="43" fontId="10" fillId="18" borderId="40" xfId="7" applyFont="1" applyFill="1" applyBorder="1"/>
    <xf numFmtId="10" fontId="10" fillId="4" borderId="47" xfId="20" applyNumberFormat="1" applyFont="1" applyFill="1" applyBorder="1"/>
    <xf numFmtId="43" fontId="10" fillId="4" borderId="49" xfId="7" applyFont="1" applyFill="1" applyBorder="1"/>
    <xf numFmtId="43" fontId="10" fillId="4" borderId="48" xfId="7" applyFont="1" applyFill="1" applyBorder="1"/>
    <xf numFmtId="0" fontId="11" fillId="4" borderId="49" xfId="14" applyFont="1" applyFill="1" applyBorder="1"/>
    <xf numFmtId="10" fontId="10" fillId="0" borderId="47" xfId="20" applyNumberFormat="1" applyFont="1" applyBorder="1"/>
    <xf numFmtId="43" fontId="10" fillId="0" borderId="49" xfId="7" applyFont="1" applyFill="1" applyBorder="1"/>
    <xf numFmtId="10" fontId="10" fillId="0" borderId="47" xfId="20" applyNumberFormat="1" applyFont="1" applyFill="1" applyBorder="1"/>
    <xf numFmtId="43" fontId="10" fillId="0" borderId="48" xfId="7" applyFont="1" applyFill="1" applyBorder="1"/>
    <xf numFmtId="43" fontId="10" fillId="18" borderId="47" xfId="7" applyFont="1" applyFill="1" applyBorder="1" applyAlignment="1">
      <alignment horizontal="center"/>
    </xf>
    <xf numFmtId="43" fontId="10" fillId="18" borderId="49" xfId="7" applyFont="1" applyFill="1" applyBorder="1" applyAlignment="1">
      <alignment horizontal="center"/>
    </xf>
    <xf numFmtId="43" fontId="10" fillId="9" borderId="48" xfId="7" applyFont="1" applyFill="1" applyBorder="1" applyAlignment="1">
      <alignment horizontal="center"/>
    </xf>
    <xf numFmtId="0" fontId="11" fillId="0" borderId="49" xfId="14" applyFont="1" applyFill="1" applyBorder="1" applyAlignment="1">
      <alignment horizontal="center"/>
    </xf>
    <xf numFmtId="43" fontId="10" fillId="0" borderId="0" xfId="14" applyNumberFormat="1" applyFont="1"/>
    <xf numFmtId="43" fontId="11" fillId="18" borderId="46" xfId="7" applyFont="1" applyFill="1" applyBorder="1"/>
    <xf numFmtId="10" fontId="11" fillId="4" borderId="47" xfId="20" applyNumberFormat="1" applyFont="1" applyFill="1" applyBorder="1"/>
    <xf numFmtId="43" fontId="11" fillId="4" borderId="49" xfId="7" applyFont="1" applyFill="1" applyBorder="1"/>
    <xf numFmtId="43" fontId="11" fillId="4" borderId="48" xfId="7" applyFont="1" applyFill="1" applyBorder="1"/>
    <xf numFmtId="43" fontId="10" fillId="0" borderId="49" xfId="7" applyFont="1" applyBorder="1"/>
    <xf numFmtId="43" fontId="10" fillId="0" borderId="48" xfId="7" applyFont="1" applyBorder="1"/>
    <xf numFmtId="43" fontId="10" fillId="18" borderId="47" xfId="7" applyFont="1" applyFill="1" applyBorder="1"/>
    <xf numFmtId="43" fontId="10" fillId="18" borderId="49" xfId="7" applyFont="1" applyFill="1" applyBorder="1"/>
    <xf numFmtId="43" fontId="10" fillId="9" borderId="48" xfId="7" applyFont="1" applyFill="1" applyBorder="1"/>
    <xf numFmtId="0" fontId="10" fillId="19" borderId="0" xfId="14" applyFont="1" applyFill="1"/>
    <xf numFmtId="43" fontId="11" fillId="18" borderId="50" xfId="7" applyFont="1" applyFill="1" applyBorder="1"/>
    <xf numFmtId="43" fontId="11" fillId="18" borderId="51" xfId="7" applyFont="1" applyFill="1" applyBorder="1"/>
    <xf numFmtId="43" fontId="11" fillId="9" borderId="52" xfId="7" applyFont="1" applyFill="1" applyBorder="1"/>
    <xf numFmtId="0" fontId="11" fillId="4" borderId="10" xfId="14" applyFont="1" applyFill="1" applyBorder="1"/>
    <xf numFmtId="0" fontId="11" fillId="4" borderId="0" xfId="14" applyFont="1" applyFill="1" applyBorder="1"/>
    <xf numFmtId="43" fontId="11" fillId="0" borderId="49" xfId="7" applyFont="1" applyFill="1" applyBorder="1"/>
    <xf numFmtId="43" fontId="11" fillId="0" borderId="48" xfId="7" applyFont="1" applyFill="1" applyBorder="1"/>
    <xf numFmtId="0" fontId="11" fillId="0" borderId="49" xfId="14" applyFont="1" applyFill="1" applyBorder="1"/>
    <xf numFmtId="0" fontId="10" fillId="0" borderId="0" xfId="14" applyFont="1" applyFill="1" applyAlignment="1">
      <alignment wrapText="1"/>
    </xf>
    <xf numFmtId="43" fontId="11" fillId="18" borderId="47" xfId="7" applyFont="1" applyFill="1" applyBorder="1" applyAlignment="1">
      <alignment horizontal="center"/>
    </xf>
    <xf numFmtId="43" fontId="11" fillId="18" borderId="49" xfId="7" applyFont="1" applyFill="1" applyBorder="1" applyAlignment="1">
      <alignment horizontal="center"/>
    </xf>
    <xf numFmtId="43" fontId="11" fillId="9" borderId="48" xfId="7" applyFont="1" applyFill="1" applyBorder="1" applyAlignment="1">
      <alignment horizontal="center"/>
    </xf>
    <xf numFmtId="167" fontId="29" fillId="0" borderId="0" xfId="7" applyNumberFormat="1" applyFont="1" applyFill="1" applyProtection="1">
      <protection locked="0"/>
    </xf>
    <xf numFmtId="0" fontId="10" fillId="0" borderId="0" xfId="14" applyFont="1" applyAlignment="1" applyProtection="1">
      <alignment wrapText="1"/>
      <protection locked="0"/>
    </xf>
    <xf numFmtId="10" fontId="10" fillId="0" borderId="46" xfId="20" applyNumberFormat="1" applyFont="1" applyFill="1" applyBorder="1"/>
    <xf numFmtId="43" fontId="10" fillId="19" borderId="46" xfId="7" applyFont="1" applyFill="1" applyBorder="1"/>
    <xf numFmtId="167" fontId="29" fillId="0" borderId="0" xfId="7" applyNumberFormat="1" applyFont="1" applyFill="1"/>
    <xf numFmtId="43" fontId="10" fillId="18" borderId="0" xfId="7" applyFont="1" applyFill="1" applyBorder="1" applyAlignment="1">
      <alignment horizontal="center"/>
    </xf>
    <xf numFmtId="43" fontId="10" fillId="9" borderId="40" xfId="7" applyFont="1" applyFill="1" applyBorder="1" applyAlignment="1">
      <alignment horizontal="center"/>
    </xf>
    <xf numFmtId="43" fontId="11" fillId="18" borderId="46" xfId="7" applyFont="1" applyFill="1" applyBorder="1" applyAlignment="1">
      <alignment horizontal="center"/>
    </xf>
    <xf numFmtId="43" fontId="11" fillId="18" borderId="0" xfId="7" applyFont="1" applyFill="1" applyBorder="1" applyAlignment="1">
      <alignment horizontal="center"/>
    </xf>
    <xf numFmtId="43" fontId="11" fillId="9" borderId="40" xfId="7" applyFont="1" applyFill="1" applyBorder="1" applyAlignment="1">
      <alignment horizontal="center"/>
    </xf>
    <xf numFmtId="0" fontId="11" fillId="0" borderId="0" xfId="14" applyFont="1" applyBorder="1" applyAlignment="1">
      <alignment horizontal="center"/>
    </xf>
    <xf numFmtId="0" fontId="10" fillId="0" borderId="0" xfId="14" applyFont="1" applyFill="1" applyAlignment="1" applyProtection="1">
      <alignment wrapText="1"/>
      <protection locked="0"/>
    </xf>
    <xf numFmtId="10" fontId="10" fillId="19" borderId="46" xfId="20" applyNumberFormat="1" applyFont="1" applyFill="1" applyBorder="1"/>
    <xf numFmtId="43" fontId="10" fillId="19" borderId="40" xfId="7" applyFont="1" applyFill="1" applyBorder="1"/>
    <xf numFmtId="9" fontId="44" fillId="0" borderId="0" xfId="20" applyFont="1" applyFill="1" applyAlignment="1" applyProtection="1"/>
    <xf numFmtId="9" fontId="44" fillId="0" borderId="0" xfId="20" applyFont="1" applyAlignment="1" applyProtection="1">
      <alignment wrapText="1"/>
    </xf>
    <xf numFmtId="0" fontId="11" fillId="0" borderId="0" xfId="14" applyFont="1" applyFill="1"/>
    <xf numFmtId="0" fontId="11" fillId="0" borderId="0" xfId="14" applyFont="1" applyFill="1" applyAlignment="1">
      <alignment wrapText="1"/>
    </xf>
    <xf numFmtId="10" fontId="11" fillId="0" borderId="53" xfId="20" applyNumberFormat="1" applyFont="1" applyBorder="1"/>
    <xf numFmtId="43" fontId="11" fillId="0" borderId="38" xfId="7" applyFont="1" applyBorder="1"/>
    <xf numFmtId="43" fontId="11" fillId="0" borderId="37" xfId="7" applyFont="1" applyBorder="1"/>
    <xf numFmtId="43" fontId="11" fillId="18" borderId="53" xfId="7" applyFont="1" applyFill="1" applyBorder="1"/>
    <xf numFmtId="43" fontId="11" fillId="18" borderId="38" xfId="7" applyFont="1" applyFill="1" applyBorder="1"/>
    <xf numFmtId="43" fontId="11" fillId="9" borderId="37" xfId="7" applyFont="1" applyFill="1" applyBorder="1"/>
    <xf numFmtId="0" fontId="11" fillId="0" borderId="38" xfId="14" applyFont="1" applyBorder="1"/>
    <xf numFmtId="43" fontId="11" fillId="0" borderId="0" xfId="7" applyFont="1"/>
    <xf numFmtId="0" fontId="10" fillId="0" borderId="0" xfId="14" quotePrefix="1" applyFont="1" applyFill="1"/>
    <xf numFmtId="43" fontId="11" fillId="0" borderId="38" xfId="7" applyFont="1" applyFill="1" applyBorder="1"/>
    <xf numFmtId="43" fontId="11" fillId="0" borderId="37" xfId="7" applyFont="1" applyFill="1" applyBorder="1"/>
    <xf numFmtId="0" fontId="11" fillId="0" borderId="38" xfId="14" applyFont="1" applyFill="1" applyBorder="1"/>
    <xf numFmtId="0" fontId="10" fillId="0" borderId="0" xfId="14" applyFont="1" applyBorder="1"/>
    <xf numFmtId="0" fontId="10" fillId="0" borderId="40" xfId="14" applyFont="1" applyBorder="1"/>
    <xf numFmtId="10" fontId="11" fillId="0" borderId="46" xfId="20" applyNumberFormat="1" applyFont="1" applyBorder="1"/>
    <xf numFmtId="0" fontId="10" fillId="0" borderId="40" xfId="7" applyNumberFormat="1" applyFont="1" applyBorder="1"/>
    <xf numFmtId="0" fontId="11" fillId="0" borderId="0" xfId="14" applyFont="1" applyBorder="1"/>
    <xf numFmtId="0" fontId="11" fillId="0" borderId="40" xfId="14" applyFont="1" applyBorder="1"/>
    <xf numFmtId="0" fontId="11" fillId="9" borderId="46" xfId="14" applyFont="1" applyFill="1" applyBorder="1"/>
    <xf numFmtId="0" fontId="11" fillId="9" borderId="0" xfId="14" applyFont="1" applyFill="1" applyBorder="1"/>
    <xf numFmtId="0" fontId="11" fillId="9" borderId="40" xfId="14" applyFont="1" applyFill="1" applyBorder="1"/>
    <xf numFmtId="0" fontId="11" fillId="0" borderId="0" xfId="14" applyFont="1" applyAlignment="1">
      <alignment horizontal="right"/>
    </xf>
    <xf numFmtId="0" fontId="10" fillId="0" borderId="0" xfId="14" applyFont="1" applyAlignment="1">
      <alignment horizontal="center"/>
    </xf>
    <xf numFmtId="9" fontId="10" fillId="0" borderId="0" xfId="20" applyFont="1" applyAlignment="1">
      <alignment horizontal="center"/>
    </xf>
    <xf numFmtId="0" fontId="10" fillId="0" borderId="0" xfId="14" applyFont="1" applyFill="1" applyAlignment="1">
      <alignment horizontal="center"/>
    </xf>
    <xf numFmtId="43" fontId="11" fillId="0" borderId="40" xfId="7" applyFont="1" applyBorder="1"/>
    <xf numFmtId="0" fontId="9" fillId="0" borderId="0" xfId="14" applyFont="1"/>
    <xf numFmtId="0" fontId="9" fillId="0" borderId="0" xfId="14" applyFont="1" applyAlignment="1">
      <alignment wrapText="1"/>
    </xf>
    <xf numFmtId="9" fontId="9" fillId="0" borderId="0" xfId="20" applyFont="1" applyAlignment="1">
      <alignment wrapText="1"/>
    </xf>
    <xf numFmtId="0" fontId="9" fillId="0" borderId="0" xfId="14" applyFont="1" applyFill="1" applyAlignment="1">
      <alignment wrapText="1"/>
    </xf>
    <xf numFmtId="0" fontId="12" fillId="9" borderId="15" xfId="14" applyFont="1" applyFill="1" applyBorder="1"/>
    <xf numFmtId="0" fontId="12" fillId="9" borderId="54" xfId="14" applyFont="1" applyFill="1" applyBorder="1"/>
    <xf numFmtId="0" fontId="12" fillId="9" borderId="55" xfId="14" applyFont="1" applyFill="1" applyBorder="1"/>
    <xf numFmtId="168" fontId="30" fillId="16" borderId="38" xfId="15" applyNumberFormat="1" applyFont="1" applyFill="1" applyBorder="1" applyProtection="1">
      <protection locked="0"/>
    </xf>
    <xf numFmtId="0" fontId="30" fillId="0" borderId="0"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44" fontId="30" fillId="0" borderId="0" xfId="8" applyFont="1" applyFill="1" applyBorder="1" applyAlignment="1" applyProtection="1">
      <alignment wrapText="1"/>
      <protection locked="0"/>
    </xf>
    <xf numFmtId="164" fontId="10" fillId="0" borderId="0" xfId="0" applyNumberFormat="1" applyFont="1"/>
    <xf numFmtId="0" fontId="9" fillId="0" borderId="0" xfId="0" applyFont="1"/>
    <xf numFmtId="0" fontId="12" fillId="9" borderId="55" xfId="0" applyFont="1" applyFill="1" applyBorder="1"/>
    <xf numFmtId="0" fontId="12" fillId="9" borderId="54" xfId="0" applyFont="1" applyFill="1" applyBorder="1"/>
    <xf numFmtId="0" fontId="12" fillId="9" borderId="15" xfId="0" applyFont="1" applyFill="1" applyBorder="1"/>
    <xf numFmtId="0" fontId="16" fillId="0" borderId="0" xfId="0" applyFont="1" applyFill="1" applyAlignment="1">
      <alignment wrapText="1"/>
    </xf>
    <xf numFmtId="0" fontId="9" fillId="0" borderId="0" xfId="0" applyFont="1" applyAlignment="1">
      <alignment wrapText="1"/>
    </xf>
    <xf numFmtId="0" fontId="10" fillId="0" borderId="0" xfId="0" applyFont="1"/>
    <xf numFmtId="0" fontId="11" fillId="9" borderId="40" xfId="0" applyFont="1" applyFill="1" applyBorder="1"/>
    <xf numFmtId="0" fontId="11" fillId="9" borderId="0" xfId="0" applyFont="1" applyFill="1" applyBorder="1"/>
    <xf numFmtId="0" fontId="11" fillId="9" borderId="46" xfId="0" applyFont="1" applyFill="1" applyBorder="1"/>
    <xf numFmtId="0" fontId="17" fillId="0" borderId="0" xfId="0" applyFont="1" applyFill="1" applyAlignment="1">
      <alignment horizontal="center"/>
    </xf>
    <xf numFmtId="0" fontId="10" fillId="0" borderId="0" xfId="0" applyFont="1" applyAlignment="1">
      <alignment horizontal="center"/>
    </xf>
    <xf numFmtId="0" fontId="10" fillId="0" borderId="0" xfId="0" applyFont="1" applyAlignment="1">
      <alignment wrapText="1"/>
    </xf>
    <xf numFmtId="0" fontId="11" fillId="0" borderId="0" xfId="0" applyFont="1" applyAlignment="1">
      <alignment horizontal="right"/>
    </xf>
    <xf numFmtId="0" fontId="17" fillId="0" borderId="0" xfId="0" applyFont="1" applyFill="1"/>
    <xf numFmtId="0" fontId="11" fillId="0" borderId="0" xfId="0" applyFont="1"/>
    <xf numFmtId="43" fontId="17" fillId="0" borderId="0" xfId="0" applyNumberFormat="1" applyFont="1" applyFill="1"/>
    <xf numFmtId="0" fontId="10" fillId="0" borderId="0" xfId="0" applyFont="1" applyFill="1"/>
    <xf numFmtId="0" fontId="11" fillId="0" borderId="38" xfId="0" applyFont="1" applyFill="1" applyBorder="1"/>
    <xf numFmtId="0" fontId="11" fillId="0" borderId="0" xfId="0" applyFont="1" applyAlignment="1">
      <alignment wrapText="1"/>
    </xf>
    <xf numFmtId="0" fontId="11" fillId="0" borderId="0" xfId="0" applyFont="1" applyFill="1" applyBorder="1"/>
    <xf numFmtId="0" fontId="11" fillId="0" borderId="0" xfId="0" applyFont="1" applyFill="1"/>
    <xf numFmtId="0" fontId="10" fillId="0" borderId="0" xfId="0" quotePrefix="1" applyFont="1" applyFill="1"/>
    <xf numFmtId="0" fontId="11" fillId="0" borderId="38" xfId="0" applyFont="1" applyBorder="1"/>
    <xf numFmtId="0" fontId="11" fillId="0" borderId="0" xfId="0" applyFont="1" applyFill="1" applyAlignment="1">
      <alignment wrapText="1"/>
    </xf>
    <xf numFmtId="0" fontId="11" fillId="0" borderId="49" xfId="0" applyFont="1" applyFill="1" applyBorder="1" applyAlignment="1">
      <alignment horizontal="center"/>
    </xf>
    <xf numFmtId="43" fontId="10" fillId="0" borderId="0" xfId="0" applyNumberFormat="1" applyFont="1"/>
    <xf numFmtId="43" fontId="17" fillId="0" borderId="0" xfId="0" applyNumberFormat="1" applyFont="1" applyFill="1" applyAlignment="1" applyProtection="1">
      <alignment wrapText="1"/>
      <protection locked="0"/>
    </xf>
    <xf numFmtId="0" fontId="11" fillId="0" borderId="49" xfId="0" applyFont="1" applyBorder="1" applyAlignment="1">
      <alignment horizontal="center"/>
    </xf>
    <xf numFmtId="0" fontId="11" fillId="0" borderId="0" xfId="0" applyFont="1" applyBorder="1" applyAlignment="1">
      <alignment horizontal="center"/>
    </xf>
    <xf numFmtId="0" fontId="10" fillId="0" borderId="0" xfId="0" applyFont="1" applyFill="1" applyAlignment="1">
      <alignment wrapText="1"/>
    </xf>
    <xf numFmtId="0" fontId="11" fillId="0" borderId="49" xfId="0" applyFont="1" applyFill="1" applyBorder="1"/>
    <xf numFmtId="0" fontId="11" fillId="4" borderId="49" xfId="0" applyFont="1" applyFill="1" applyBorder="1"/>
    <xf numFmtId="3" fontId="19" fillId="0" borderId="0" xfId="0" applyNumberFormat="1" applyFont="1" applyFill="1" applyBorder="1" applyAlignment="1" applyProtection="1">
      <alignment horizontal="center" wrapText="1"/>
      <protection locked="0"/>
    </xf>
    <xf numFmtId="0" fontId="29" fillId="0" borderId="0" xfId="0" applyFont="1" applyFill="1" applyAlignment="1" applyProtection="1">
      <alignment wrapText="1"/>
      <protection locked="0"/>
    </xf>
    <xf numFmtId="44" fontId="30" fillId="0" borderId="0" xfId="8" applyFont="1" applyFill="1" applyAlignment="1" applyProtection="1">
      <alignment wrapText="1"/>
      <protection locked="0"/>
    </xf>
    <xf numFmtId="0" fontId="30" fillId="0" borderId="0" xfId="0" applyFont="1" applyFill="1" applyAlignment="1" applyProtection="1">
      <alignment wrapText="1"/>
      <protection locked="0"/>
    </xf>
    <xf numFmtId="0" fontId="29" fillId="0" borderId="0" xfId="0" applyFont="1" applyFill="1" applyAlignment="1" applyProtection="1">
      <protection locked="0"/>
    </xf>
    <xf numFmtId="0" fontId="29" fillId="20" borderId="0" xfId="0" applyFont="1" applyFill="1" applyBorder="1" applyAlignment="1" applyProtection="1">
      <protection locked="0"/>
    </xf>
    <xf numFmtId="0" fontId="29" fillId="16" borderId="0" xfId="0" applyFont="1" applyFill="1" applyAlignment="1" applyProtection="1">
      <protection locked="0"/>
    </xf>
    <xf numFmtId="44" fontId="29" fillId="0" borderId="0" xfId="8" applyFont="1" applyFill="1" applyAlignment="1" applyProtection="1">
      <protection locked="0"/>
    </xf>
    <xf numFmtId="44" fontId="29" fillId="16" borderId="0" xfId="8" applyFont="1" applyFill="1" applyAlignment="1" applyProtection="1">
      <protection locked="0"/>
    </xf>
    <xf numFmtId="44" fontId="30" fillId="0" borderId="0" xfId="8" applyFont="1" applyFill="1" applyAlignment="1" applyProtection="1">
      <protection locked="0"/>
    </xf>
    <xf numFmtId="44" fontId="30" fillId="16" borderId="0" xfId="8" applyFont="1" applyFill="1" applyAlignment="1" applyProtection="1">
      <protection locked="0"/>
    </xf>
    <xf numFmtId="0" fontId="30" fillId="0" borderId="0" xfId="0" applyFont="1" applyFill="1" applyAlignment="1" applyProtection="1">
      <protection locked="0"/>
    </xf>
    <xf numFmtId="0" fontId="30" fillId="16" borderId="0" xfId="0" applyFont="1" applyFill="1" applyAlignment="1" applyProtection="1">
      <protection locked="0"/>
    </xf>
    <xf numFmtId="0" fontId="30" fillId="0" borderId="0" xfId="0" applyFont="1" applyFill="1" applyBorder="1" applyAlignment="1" applyProtection="1">
      <protection locked="0"/>
    </xf>
    <xf numFmtId="0" fontId="29" fillId="0" borderId="0" xfId="0" applyFont="1" applyFill="1" applyBorder="1" applyAlignment="1" applyProtection="1">
      <protection locked="0"/>
    </xf>
    <xf numFmtId="9" fontId="16" fillId="0" borderId="0" xfId="20" applyFont="1" applyAlignment="1">
      <alignment wrapText="1"/>
    </xf>
    <xf numFmtId="0" fontId="11" fillId="18" borderId="0" xfId="0" applyFont="1" applyFill="1" applyBorder="1"/>
    <xf numFmtId="0" fontId="20" fillId="0" borderId="40" xfId="0" applyFont="1" applyFill="1" applyBorder="1"/>
    <xf numFmtId="0" fontId="20" fillId="0" borderId="0" xfId="0" applyFont="1" applyFill="1" applyBorder="1"/>
    <xf numFmtId="43" fontId="45" fillId="0" borderId="40" xfId="7" applyFont="1" applyBorder="1"/>
    <xf numFmtId="10" fontId="45" fillId="0" borderId="46" xfId="20" applyNumberFormat="1" applyFont="1" applyBorder="1"/>
    <xf numFmtId="9" fontId="17" fillId="0" borderId="0" xfId="20" applyFont="1" applyAlignment="1">
      <alignment horizontal="center"/>
    </xf>
    <xf numFmtId="0" fontId="46" fillId="0" borderId="40" xfId="7" applyNumberFormat="1" applyFont="1" applyBorder="1"/>
    <xf numFmtId="9" fontId="17" fillId="0" borderId="0" xfId="20" applyFont="1"/>
    <xf numFmtId="0" fontId="10" fillId="18" borderId="0" xfId="0" applyFont="1" applyFill="1" applyBorder="1"/>
    <xf numFmtId="0" fontId="17" fillId="0" borderId="40" xfId="0" applyFont="1" applyFill="1" applyBorder="1"/>
    <xf numFmtId="0" fontId="17" fillId="0" borderId="0" xfId="0" applyFont="1" applyFill="1" applyBorder="1"/>
    <xf numFmtId="43" fontId="46" fillId="0" borderId="40" xfId="7" applyFont="1" applyBorder="1"/>
    <xf numFmtId="10" fontId="46" fillId="0" borderId="46" xfId="20" applyNumberFormat="1" applyFont="1" applyBorder="1"/>
    <xf numFmtId="43" fontId="17" fillId="0" borderId="40" xfId="7" applyFont="1" applyFill="1" applyBorder="1"/>
    <xf numFmtId="43" fontId="17" fillId="0" borderId="0" xfId="7" applyFont="1" applyFill="1" applyBorder="1"/>
    <xf numFmtId="43" fontId="20" fillId="18" borderId="53" xfId="7" applyFont="1" applyFill="1" applyBorder="1"/>
    <xf numFmtId="10" fontId="11" fillId="18" borderId="53" xfId="20" applyNumberFormat="1" applyFont="1" applyFill="1" applyBorder="1"/>
    <xf numFmtId="43" fontId="45" fillId="0" borderId="38" xfId="7" applyFont="1" applyBorder="1"/>
    <xf numFmtId="10" fontId="45" fillId="0" borderId="53" xfId="20" applyNumberFormat="1" applyFont="1" applyBorder="1"/>
    <xf numFmtId="0" fontId="11" fillId="18" borderId="0" xfId="0" applyFont="1" applyFill="1"/>
    <xf numFmtId="0" fontId="20" fillId="0" borderId="0" xfId="0" applyFont="1" applyFill="1"/>
    <xf numFmtId="43" fontId="45" fillId="0" borderId="0" xfId="7" applyFont="1"/>
    <xf numFmtId="43" fontId="20" fillId="18" borderId="47" xfId="7" applyFont="1" applyFill="1" applyBorder="1" applyAlignment="1">
      <alignment horizontal="center"/>
    </xf>
    <xf numFmtId="10" fontId="11" fillId="18" borderId="47" xfId="20" applyNumberFormat="1" applyFont="1" applyFill="1" applyBorder="1"/>
    <xf numFmtId="43" fontId="45" fillId="0" borderId="49" xfId="7" applyFont="1" applyFill="1" applyBorder="1"/>
    <xf numFmtId="10" fontId="45" fillId="0" borderId="47" xfId="20" applyNumberFormat="1" applyFont="1" applyFill="1" applyBorder="1"/>
    <xf numFmtId="43" fontId="46" fillId="0" borderId="40" xfId="7" applyFont="1" applyFill="1" applyBorder="1"/>
    <xf numFmtId="9" fontId="18" fillId="0" borderId="0" xfId="20" applyFont="1" applyAlignment="1" applyProtection="1">
      <alignment wrapText="1"/>
    </xf>
    <xf numFmtId="43" fontId="17" fillId="19" borderId="40" xfId="7" applyFont="1" applyFill="1" applyBorder="1"/>
    <xf numFmtId="43" fontId="17" fillId="19" borderId="0" xfId="7" applyFont="1" applyFill="1" applyBorder="1"/>
    <xf numFmtId="43" fontId="46" fillId="19" borderId="46" xfId="7" applyFont="1" applyFill="1" applyBorder="1"/>
    <xf numFmtId="43" fontId="46" fillId="18" borderId="46" xfId="7" applyFont="1" applyFill="1" applyBorder="1"/>
    <xf numFmtId="43" fontId="45" fillId="0" borderId="49" xfId="7" applyFont="1" applyBorder="1"/>
    <xf numFmtId="43" fontId="20" fillId="18" borderId="47" xfId="7" applyFont="1" applyFill="1" applyBorder="1"/>
    <xf numFmtId="43" fontId="10" fillId="0" borderId="46" xfId="7" applyFont="1" applyFill="1" applyBorder="1"/>
    <xf numFmtId="43" fontId="46" fillId="0" borderId="0" xfId="7" applyFont="1" applyBorder="1"/>
    <xf numFmtId="0" fontId="11" fillId="21" borderId="0" xfId="0" applyFont="1" applyFill="1" applyBorder="1"/>
    <xf numFmtId="43" fontId="11" fillId="21" borderId="40" xfId="7" applyFont="1" applyFill="1" applyBorder="1"/>
    <xf numFmtId="43" fontId="11" fillId="21" borderId="0" xfId="7" applyFont="1" applyFill="1" applyBorder="1"/>
    <xf numFmtId="43" fontId="10" fillId="21" borderId="0" xfId="7" applyFont="1" applyFill="1" applyBorder="1"/>
    <xf numFmtId="43" fontId="11" fillId="21" borderId="46" xfId="7" applyFont="1" applyFill="1" applyBorder="1"/>
    <xf numFmtId="0" fontId="11" fillId="21" borderId="10" xfId="0" applyFont="1" applyFill="1" applyBorder="1"/>
    <xf numFmtId="43" fontId="11" fillId="21" borderId="52" xfId="7" applyFont="1" applyFill="1" applyBorder="1"/>
    <xf numFmtId="43" fontId="11" fillId="21" borderId="51" xfId="7" applyFont="1" applyFill="1" applyBorder="1"/>
    <xf numFmtId="43" fontId="11" fillId="21" borderId="49" xfId="7" applyFont="1" applyFill="1" applyBorder="1"/>
    <xf numFmtId="43" fontId="11" fillId="21" borderId="50" xfId="7" applyFont="1" applyFill="1" applyBorder="1"/>
    <xf numFmtId="43" fontId="20" fillId="21" borderId="50" xfId="7" applyFont="1" applyFill="1" applyBorder="1"/>
    <xf numFmtId="43" fontId="45" fillId="4" borderId="49" xfId="7" applyFont="1" applyFill="1" applyBorder="1"/>
    <xf numFmtId="10" fontId="45" fillId="4" borderId="47" xfId="20" applyNumberFormat="1" applyFont="1" applyFill="1" applyBorder="1"/>
    <xf numFmtId="43" fontId="17" fillId="0" borderId="47" xfId="7" applyFont="1" applyFill="1" applyBorder="1"/>
    <xf numFmtId="43" fontId="46" fillId="0" borderId="49" xfId="7" applyFont="1" applyBorder="1"/>
    <xf numFmtId="10" fontId="46" fillId="0" borderId="47" xfId="20" applyNumberFormat="1" applyFont="1" applyBorder="1"/>
    <xf numFmtId="43" fontId="11" fillId="21" borderId="47" xfId="7" applyFont="1" applyFill="1" applyBorder="1"/>
    <xf numFmtId="43" fontId="20" fillId="21" borderId="47" xfId="7" applyFont="1" applyFill="1" applyBorder="1"/>
    <xf numFmtId="43" fontId="17" fillId="0" borderId="47" xfId="7" applyFont="1" applyFill="1" applyBorder="1" applyAlignment="1">
      <alignment horizontal="center"/>
    </xf>
    <xf numFmtId="43" fontId="46" fillId="0" borderId="49" xfId="7" applyFont="1" applyFill="1" applyBorder="1"/>
    <xf numFmtId="43" fontId="10" fillId="21" borderId="49" xfId="7" applyFont="1" applyFill="1" applyBorder="1"/>
    <xf numFmtId="43" fontId="46" fillId="4" borderId="49" xfId="7" applyFont="1" applyFill="1" applyBorder="1"/>
    <xf numFmtId="10" fontId="46" fillId="4" borderId="47" xfId="20" applyNumberFormat="1" applyFont="1" applyFill="1" applyBorder="1"/>
    <xf numFmtId="43" fontId="20" fillId="18" borderId="49" xfId="7" applyFont="1" applyFill="1" applyBorder="1"/>
    <xf numFmtId="43" fontId="45" fillId="0" borderId="48" xfId="7" applyFont="1" applyBorder="1"/>
    <xf numFmtId="10" fontId="45" fillId="0" borderId="47" xfId="20" applyNumberFormat="1" applyFont="1" applyBorder="1"/>
    <xf numFmtId="43" fontId="20" fillId="18" borderId="0" xfId="7" applyFont="1" applyFill="1" applyBorder="1"/>
    <xf numFmtId="43" fontId="10" fillId="18" borderId="20" xfId="7" applyFont="1" applyFill="1" applyBorder="1"/>
    <xf numFmtId="43" fontId="20" fillId="18" borderId="20" xfId="7" applyFont="1" applyFill="1" applyBorder="1"/>
    <xf numFmtId="43" fontId="46" fillId="8" borderId="45" xfId="7" applyFont="1" applyFill="1" applyBorder="1"/>
    <xf numFmtId="10" fontId="46" fillId="0" borderId="18" xfId="20" applyNumberFormat="1" applyFont="1" applyFill="1" applyBorder="1"/>
    <xf numFmtId="0" fontId="17" fillId="0" borderId="0" xfId="0" applyFont="1"/>
    <xf numFmtId="43" fontId="46" fillId="0" borderId="0" xfId="7" applyFont="1"/>
    <xf numFmtId="10" fontId="46" fillId="0" borderId="0" xfId="20" applyNumberFormat="1" applyFont="1"/>
    <xf numFmtId="43" fontId="17" fillId="0" borderId="0" xfId="7" applyFont="1"/>
    <xf numFmtId="43" fontId="46" fillId="16" borderId="0" xfId="7" applyFont="1" applyFill="1"/>
    <xf numFmtId="0" fontId="10" fillId="0" borderId="42" xfId="0" applyFont="1" applyBorder="1"/>
    <xf numFmtId="0" fontId="10" fillId="0" borderId="56" xfId="0" applyFont="1" applyFill="1" applyBorder="1"/>
    <xf numFmtId="0" fontId="10" fillId="0" borderId="27" xfId="0" applyFont="1" applyBorder="1"/>
    <xf numFmtId="0" fontId="10" fillId="0" borderId="57" xfId="0" applyFont="1" applyBorder="1"/>
    <xf numFmtId="0" fontId="10" fillId="0" borderId="58" xfId="0" applyFont="1" applyFill="1" applyBorder="1"/>
    <xf numFmtId="43" fontId="10" fillId="0" borderId="21" xfId="7" applyFont="1" applyBorder="1"/>
    <xf numFmtId="43" fontId="46" fillId="0" borderId="0" xfId="7" applyFont="1" applyAlignment="1">
      <alignment wrapText="1"/>
    </xf>
    <xf numFmtId="0" fontId="30" fillId="0" borderId="0" xfId="0" applyFont="1" applyFill="1" applyBorder="1" applyAlignment="1" applyProtection="1">
      <alignment horizontal="center"/>
    </xf>
    <xf numFmtId="169" fontId="39" fillId="0" borderId="0" xfId="1" applyNumberFormat="1" applyFont="1" applyFill="1" applyProtection="1">
      <protection locked="0"/>
    </xf>
    <xf numFmtId="169" fontId="29" fillId="0" borderId="0" xfId="1" applyNumberFormat="1" applyFont="1" applyFill="1" applyProtection="1">
      <protection locked="0"/>
    </xf>
    <xf numFmtId="169" fontId="30" fillId="16" borderId="0" xfId="1" applyNumberFormat="1" applyFont="1" applyFill="1" applyProtection="1">
      <protection locked="0"/>
    </xf>
    <xf numFmtId="169" fontId="29" fillId="0" borderId="0" xfId="1" applyNumberFormat="1" applyFont="1" applyFill="1" applyBorder="1" applyProtection="1">
      <protection locked="0"/>
    </xf>
    <xf numFmtId="169" fontId="30" fillId="16" borderId="0" xfId="1" applyNumberFormat="1" applyFont="1" applyFill="1" applyBorder="1" applyProtection="1">
      <protection locked="0"/>
    </xf>
    <xf numFmtId="169" fontId="29" fillId="0" borderId="0" xfId="0" applyNumberFormat="1" applyFont="1" applyFill="1" applyBorder="1" applyProtection="1">
      <protection locked="0"/>
    </xf>
    <xf numFmtId="0" fontId="31" fillId="5" borderId="54" xfId="0" applyFont="1" applyFill="1" applyBorder="1" applyAlignment="1" applyProtection="1">
      <alignment horizontal="center" wrapText="1"/>
    </xf>
    <xf numFmtId="43" fontId="35" fillId="19" borderId="0" xfId="1" applyFont="1" applyFill="1" applyBorder="1" applyProtection="1">
      <protection locked="0"/>
    </xf>
    <xf numFmtId="43" fontId="30" fillId="16" borderId="0" xfId="1" applyFont="1" applyFill="1" applyBorder="1" applyProtection="1"/>
    <xf numFmtId="43" fontId="30" fillId="16" borderId="0" xfId="1" applyFont="1" applyFill="1" applyBorder="1" applyProtection="1">
      <protection locked="0"/>
    </xf>
    <xf numFmtId="169" fontId="29" fillId="0" borderId="0" xfId="1" applyNumberFormat="1" applyFont="1" applyFill="1" applyAlignment="1" applyProtection="1">
      <alignment vertical="center"/>
      <protection locked="0"/>
    </xf>
    <xf numFmtId="0" fontId="29" fillId="0" borderId="0" xfId="0" applyFont="1" applyFill="1" applyAlignment="1" applyProtection="1">
      <alignment vertical="center"/>
      <protection locked="0"/>
    </xf>
    <xf numFmtId="43" fontId="29" fillId="16" borderId="23" xfId="1" applyFont="1" applyFill="1" applyBorder="1" applyAlignment="1" applyProtection="1">
      <alignment vertical="center"/>
      <protection locked="0"/>
    </xf>
    <xf numFmtId="43" fontId="35" fillId="0" borderId="23" xfId="1" applyFont="1" applyFill="1" applyBorder="1" applyAlignment="1" applyProtection="1">
      <alignment vertical="center"/>
      <protection locked="0"/>
    </xf>
    <xf numFmtId="169" fontId="29" fillId="16" borderId="0" xfId="1" applyNumberFormat="1" applyFont="1" applyFill="1" applyAlignment="1" applyProtection="1">
      <alignment vertical="center"/>
      <protection locked="0"/>
    </xf>
    <xf numFmtId="43" fontId="29" fillId="16" borderId="23" xfId="1" applyFont="1" applyFill="1" applyBorder="1" applyAlignment="1" applyProtection="1">
      <alignment vertical="center"/>
    </xf>
    <xf numFmtId="0" fontId="29" fillId="16" borderId="0" xfId="0" applyFont="1" applyFill="1" applyAlignment="1" applyProtection="1">
      <alignment vertical="center"/>
      <protection locked="0"/>
    </xf>
    <xf numFmtId="169" fontId="39" fillId="16" borderId="0" xfId="1" applyNumberFormat="1" applyFont="1" applyFill="1" applyAlignment="1" applyProtection="1">
      <alignment vertical="center"/>
      <protection locked="0"/>
    </xf>
    <xf numFmtId="44" fontId="29" fillId="0" borderId="0" xfId="8" applyFont="1" applyFill="1" applyAlignment="1" applyProtection="1">
      <alignment vertical="center"/>
      <protection locked="0"/>
    </xf>
    <xf numFmtId="44" fontId="29" fillId="16" borderId="0" xfId="8" applyFont="1" applyFill="1" applyAlignment="1" applyProtection="1">
      <alignment vertical="center"/>
      <protection locked="0"/>
    </xf>
    <xf numFmtId="43" fontId="30" fillId="16" borderId="23" xfId="1" applyFont="1" applyFill="1" applyBorder="1" applyAlignment="1" applyProtection="1">
      <alignment horizontal="right" vertical="center"/>
    </xf>
    <xf numFmtId="44" fontId="30" fillId="0" borderId="0" xfId="8" applyFont="1" applyFill="1" applyAlignment="1" applyProtection="1">
      <alignment vertical="center"/>
      <protection locked="0"/>
    </xf>
    <xf numFmtId="44" fontId="30" fillId="16" borderId="0" xfId="8" applyFont="1" applyFill="1" applyAlignment="1" applyProtection="1">
      <alignment vertical="center"/>
      <protection locked="0"/>
    </xf>
    <xf numFmtId="169" fontId="4" fillId="0" borderId="0" xfId="3" applyNumberFormat="1" applyFont="1" applyFill="1" applyAlignment="1" applyProtection="1">
      <alignment vertical="center"/>
      <protection locked="0"/>
    </xf>
    <xf numFmtId="169" fontId="41" fillId="16" borderId="0" xfId="1" applyNumberFormat="1" applyFont="1" applyFill="1" applyAlignment="1" applyProtection="1">
      <alignment vertical="center"/>
      <protection locked="0"/>
    </xf>
    <xf numFmtId="0" fontId="30" fillId="0" borderId="0" xfId="0" applyFont="1" applyFill="1" applyAlignment="1" applyProtection="1">
      <alignment vertical="center"/>
      <protection locked="0"/>
    </xf>
    <xf numFmtId="0" fontId="30" fillId="16" borderId="0" xfId="0" applyFont="1" applyFill="1" applyAlignment="1" applyProtection="1">
      <alignment vertical="center"/>
      <protection locked="0"/>
    </xf>
    <xf numFmtId="169" fontId="30" fillId="16" borderId="0" xfId="1" applyNumberFormat="1" applyFont="1" applyFill="1" applyAlignment="1" applyProtection="1">
      <alignment vertical="center"/>
      <protection locked="0"/>
    </xf>
    <xf numFmtId="169" fontId="30" fillId="0" borderId="0" xfId="1" applyNumberFormat="1" applyFont="1" applyFill="1" applyAlignment="1" applyProtection="1">
      <alignment vertical="center"/>
      <protection locked="0"/>
    </xf>
    <xf numFmtId="43" fontId="30" fillId="16" borderId="23" xfId="1" applyFont="1" applyFill="1" applyBorder="1" applyAlignment="1" applyProtection="1">
      <alignment vertical="center"/>
    </xf>
    <xf numFmtId="43" fontId="30" fillId="10" borderId="0" xfId="1" applyFont="1" applyFill="1" applyBorder="1" applyAlignment="1" applyProtection="1">
      <alignment vertical="center"/>
      <protection locked="0"/>
    </xf>
    <xf numFmtId="43" fontId="29" fillId="10" borderId="0" xfId="1" applyFont="1" applyFill="1" applyBorder="1" applyAlignment="1" applyProtection="1">
      <alignment horizontal="left" vertical="center"/>
      <protection locked="0"/>
    </xf>
    <xf numFmtId="43" fontId="29" fillId="10" borderId="0" xfId="1" applyFont="1" applyFill="1" applyBorder="1" applyAlignment="1" applyProtection="1">
      <alignment vertical="center"/>
      <protection locked="0"/>
    </xf>
    <xf numFmtId="9" fontId="29" fillId="16" borderId="23" xfId="15" applyFont="1" applyFill="1" applyBorder="1" applyAlignment="1" applyProtection="1">
      <alignment vertical="center"/>
      <protection locked="0"/>
    </xf>
    <xf numFmtId="0" fontId="47" fillId="0" borderId="0" xfId="0" applyFont="1"/>
    <xf numFmtId="0" fontId="30" fillId="0" borderId="2" xfId="0" applyFont="1" applyFill="1" applyBorder="1" applyAlignment="1" applyProtection="1">
      <alignment horizontal="left" vertical="top" wrapText="1" indent="1"/>
    </xf>
    <xf numFmtId="166" fontId="29" fillId="4" borderId="0" xfId="9" applyNumberFormat="1" applyFont="1" applyFill="1" applyBorder="1" applyAlignment="1" applyProtection="1">
      <alignment vertical="top"/>
    </xf>
    <xf numFmtId="166" fontId="29" fillId="22" borderId="0" xfId="9" applyNumberFormat="1" applyFont="1" applyFill="1" applyBorder="1" applyAlignment="1" applyProtection="1">
      <alignment vertical="top"/>
    </xf>
    <xf numFmtId="0" fontId="30" fillId="0" borderId="2" xfId="0" applyFont="1" applyFill="1" applyBorder="1" applyAlignment="1" applyProtection="1">
      <alignment horizontal="left" vertical="top" indent="1"/>
    </xf>
    <xf numFmtId="0" fontId="30" fillId="22" borderId="2" xfId="0" applyFont="1" applyFill="1" applyBorder="1" applyAlignment="1" applyProtection="1">
      <alignment horizontal="left" vertical="top" indent="1"/>
    </xf>
    <xf numFmtId="0" fontId="30" fillId="22" borderId="7" xfId="0" applyFont="1" applyFill="1" applyBorder="1" applyAlignment="1" applyProtection="1">
      <alignment horizontal="left" vertical="top" wrapText="1" indent="1"/>
    </xf>
    <xf numFmtId="166" fontId="29" fillId="4" borderId="59" xfId="9" applyNumberFormat="1" applyFont="1" applyFill="1" applyBorder="1" applyAlignment="1" applyProtection="1">
      <alignment vertical="top"/>
    </xf>
    <xf numFmtId="0" fontId="33" fillId="3" borderId="60" xfId="0" applyFont="1" applyFill="1" applyBorder="1" applyAlignment="1" applyProtection="1">
      <alignment horizontal="center" wrapText="1"/>
    </xf>
    <xf numFmtId="0" fontId="33" fillId="3" borderId="61" xfId="0" applyFont="1" applyFill="1" applyBorder="1" applyAlignment="1" applyProtection="1">
      <alignment horizontal="center" wrapText="1"/>
    </xf>
    <xf numFmtId="166" fontId="29" fillId="22" borderId="3" xfId="9" applyNumberFormat="1" applyFont="1" applyFill="1" applyBorder="1" applyAlignment="1" applyProtection="1">
      <alignment vertical="top"/>
    </xf>
    <xf numFmtId="0" fontId="33" fillId="3" borderId="7" xfId="0" applyFont="1" applyFill="1" applyBorder="1" applyAlignment="1" applyProtection="1">
      <alignment horizontal="center" wrapText="1"/>
    </xf>
    <xf numFmtId="0" fontId="29" fillId="0" borderId="7" xfId="0" applyFont="1" applyBorder="1" applyProtection="1"/>
    <xf numFmtId="0" fontId="30" fillId="2" borderId="62" xfId="0" applyFont="1" applyFill="1" applyBorder="1" applyProtection="1"/>
    <xf numFmtId="0" fontId="33" fillId="3" borderId="7" xfId="0" applyFont="1" applyFill="1" applyBorder="1" applyProtection="1"/>
    <xf numFmtId="0" fontId="29" fillId="0" borderId="2" xfId="0" applyFont="1" applyFill="1" applyBorder="1" applyAlignment="1" applyProtection="1">
      <alignment vertical="top" wrapText="1"/>
    </xf>
    <xf numFmtId="0" fontId="29" fillId="0" borderId="0" xfId="0" applyFont="1" applyFill="1"/>
    <xf numFmtId="0" fontId="29" fillId="0" borderId="2" xfId="0" applyFont="1" applyFill="1" applyBorder="1" applyProtection="1"/>
    <xf numFmtId="0" fontId="29" fillId="0" borderId="0" xfId="0" applyFont="1" applyFill="1" applyBorder="1" applyProtection="1"/>
    <xf numFmtId="0" fontId="33" fillId="22" borderId="0" xfId="0" applyFont="1" applyFill="1" applyBorder="1" applyProtection="1"/>
    <xf numFmtId="0" fontId="29" fillId="22" borderId="0" xfId="0" applyFont="1" applyFill="1" applyBorder="1" applyProtection="1"/>
    <xf numFmtId="0" fontId="33" fillId="3" borderId="63" xfId="0" applyFont="1" applyFill="1" applyBorder="1" applyAlignment="1" applyProtection="1">
      <alignment horizontal="center" wrapText="1"/>
    </xf>
    <xf numFmtId="0" fontId="30" fillId="0" borderId="2" xfId="0" applyFont="1" applyFill="1" applyBorder="1" applyAlignment="1" applyProtection="1">
      <alignment vertical="top" wrapText="1"/>
    </xf>
    <xf numFmtId="0" fontId="30" fillId="0" borderId="28" xfId="0" applyFont="1" applyFill="1" applyBorder="1" applyProtection="1"/>
    <xf numFmtId="0" fontId="30" fillId="0" borderId="3" xfId="0" applyFont="1" applyFill="1" applyBorder="1" applyProtection="1"/>
    <xf numFmtId="0" fontId="30" fillId="0" borderId="36" xfId="0" applyFont="1" applyFill="1" applyBorder="1" applyProtection="1"/>
    <xf numFmtId="0" fontId="33" fillId="22" borderId="7" xfId="0" applyFont="1" applyFill="1" applyBorder="1" applyProtection="1"/>
    <xf numFmtId="0" fontId="29" fillId="22" borderId="7" xfId="0" applyFont="1" applyFill="1" applyBorder="1" applyProtection="1"/>
    <xf numFmtId="0" fontId="30" fillId="22" borderId="59" xfId="0" applyFont="1" applyFill="1" applyBorder="1" applyProtection="1"/>
    <xf numFmtId="44" fontId="28" fillId="23" borderId="0" xfId="8" applyFont="1" applyFill="1" applyBorder="1"/>
    <xf numFmtId="166" fontId="28" fillId="0" borderId="3" xfId="9" applyNumberFormat="1" applyFont="1" applyFill="1" applyBorder="1" applyProtection="1"/>
    <xf numFmtId="43" fontId="28" fillId="24" borderId="3" xfId="3" applyFont="1" applyFill="1" applyBorder="1" applyProtection="1"/>
    <xf numFmtId="165" fontId="28" fillId="24" borderId="3" xfId="3" applyNumberFormat="1" applyFont="1" applyFill="1" applyBorder="1" applyProtection="1"/>
    <xf numFmtId="165" fontId="28" fillId="24" borderId="64" xfId="3" applyNumberFormat="1" applyFont="1" applyFill="1" applyBorder="1" applyProtection="1"/>
    <xf numFmtId="43" fontId="28" fillId="24" borderId="64" xfId="3" applyFont="1" applyFill="1" applyBorder="1" applyProtection="1"/>
    <xf numFmtId="43" fontId="28" fillId="24" borderId="64" xfId="1" applyFont="1" applyFill="1" applyBorder="1" applyProtection="1"/>
    <xf numFmtId="166" fontId="29" fillId="11" borderId="0" xfId="9" applyNumberFormat="1" applyFont="1" applyFill="1" applyBorder="1" applyAlignment="1" applyProtection="1">
      <alignment vertical="top"/>
    </xf>
    <xf numFmtId="0" fontId="28" fillId="0" borderId="0" xfId="0" applyFont="1" applyAlignment="1">
      <alignment wrapText="1"/>
    </xf>
    <xf numFmtId="0" fontId="28" fillId="3" borderId="18" xfId="0" applyFont="1" applyFill="1" applyBorder="1" applyAlignment="1">
      <alignment wrapText="1"/>
    </xf>
    <xf numFmtId="0" fontId="28" fillId="0" borderId="0" xfId="0" applyFont="1" applyBorder="1" applyAlignment="1">
      <alignment wrapText="1"/>
    </xf>
    <xf numFmtId="0" fontId="32" fillId="24" borderId="65" xfId="0" applyFont="1" applyFill="1" applyBorder="1" applyAlignment="1" applyProtection="1">
      <alignment horizontal="left" indent="1"/>
    </xf>
    <xf numFmtId="0" fontId="28" fillId="24" borderId="59" xfId="0" applyFont="1" applyFill="1" applyBorder="1" applyProtection="1"/>
    <xf numFmtId="0" fontId="32" fillId="24" borderId="3" xfId="0" applyFont="1" applyFill="1" applyBorder="1" applyAlignment="1" applyProtection="1">
      <alignment horizontal="left" wrapText="1"/>
    </xf>
    <xf numFmtId="0" fontId="28" fillId="24" borderId="3" xfId="0" applyFont="1" applyFill="1" applyBorder="1" applyAlignment="1" applyProtection="1">
      <alignment wrapText="1"/>
    </xf>
    <xf numFmtId="0" fontId="28" fillId="24" borderId="3" xfId="0" applyFont="1" applyFill="1" applyBorder="1" applyProtection="1"/>
    <xf numFmtId="0" fontId="28" fillId="24" borderId="65" xfId="0" applyFont="1" applyFill="1" applyBorder="1" applyProtection="1"/>
    <xf numFmtId="43" fontId="28" fillId="24" borderId="3" xfId="2" applyFont="1" applyFill="1" applyBorder="1" applyAlignment="1" applyProtection="1">
      <alignment wrapText="1"/>
    </xf>
    <xf numFmtId="168" fontId="28" fillId="24" borderId="3" xfId="16" applyNumberFormat="1" applyFont="1" applyFill="1" applyBorder="1" applyProtection="1"/>
    <xf numFmtId="165" fontId="28" fillId="24" borderId="64" xfId="2" applyNumberFormat="1" applyFont="1" applyFill="1" applyBorder="1" applyProtection="1"/>
    <xf numFmtId="165" fontId="28" fillId="24" borderId="3" xfId="2" applyNumberFormat="1" applyFont="1" applyFill="1" applyBorder="1" applyProtection="1"/>
    <xf numFmtId="0" fontId="28" fillId="24" borderId="3" xfId="0" quotePrefix="1" applyNumberFormat="1" applyFont="1" applyFill="1" applyBorder="1" applyAlignment="1" applyProtection="1">
      <alignment horizontal="center"/>
    </xf>
    <xf numFmtId="0" fontId="32" fillId="24" borderId="65" xfId="0" applyFont="1" applyFill="1" applyBorder="1" applyProtection="1"/>
    <xf numFmtId="0" fontId="28" fillId="24" borderId="3" xfId="0" applyFont="1" applyFill="1" applyBorder="1" applyAlignment="1" applyProtection="1">
      <alignment horizontal="left" wrapText="1"/>
    </xf>
    <xf numFmtId="168" fontId="28" fillId="24" borderId="3" xfId="17" applyNumberFormat="1" applyFont="1" applyFill="1" applyBorder="1" applyProtection="1"/>
    <xf numFmtId="0" fontId="28" fillId="24" borderId="46" xfId="0" applyNumberFormat="1" applyFont="1" applyFill="1" applyBorder="1" applyAlignment="1" applyProtection="1">
      <alignment horizontal="center"/>
    </xf>
    <xf numFmtId="0" fontId="28" fillId="24" borderId="46" xfId="0" quotePrefix="1" applyNumberFormat="1" applyFont="1" applyFill="1" applyBorder="1" applyAlignment="1" applyProtection="1">
      <alignment horizontal="center"/>
    </xf>
    <xf numFmtId="0" fontId="31" fillId="24" borderId="11" xfId="0" applyFont="1" applyFill="1" applyBorder="1" applyAlignment="1" applyProtection="1">
      <alignment horizontal="center" wrapText="1"/>
    </xf>
    <xf numFmtId="0" fontId="31" fillId="24" borderId="12" xfId="0" applyFont="1" applyFill="1" applyBorder="1" applyAlignment="1" applyProtection="1">
      <alignment horizontal="center" wrapText="1"/>
    </xf>
    <xf numFmtId="0" fontId="34" fillId="24" borderId="12" xfId="0" applyFont="1" applyFill="1" applyBorder="1" applyAlignment="1" applyProtection="1">
      <alignment horizontal="center" wrapText="1"/>
    </xf>
    <xf numFmtId="0" fontId="34" fillId="24" borderId="15" xfId="0" applyFont="1" applyFill="1" applyBorder="1" applyAlignment="1" applyProtection="1">
      <alignment horizontal="center" wrapText="1"/>
    </xf>
    <xf numFmtId="0" fontId="32" fillId="0" borderId="65" xfId="0" applyFont="1" applyFill="1" applyBorder="1" applyProtection="1">
      <protection locked="0"/>
    </xf>
    <xf numFmtId="0" fontId="28" fillId="0" borderId="65" xfId="0" applyFont="1" applyFill="1" applyBorder="1" applyProtection="1">
      <protection locked="0"/>
    </xf>
    <xf numFmtId="0" fontId="28" fillId="0" borderId="3" xfId="0" applyFont="1" applyBorder="1" applyProtection="1">
      <protection locked="0"/>
    </xf>
    <xf numFmtId="43" fontId="28" fillId="0" borderId="3" xfId="3" applyFont="1" applyFill="1" applyBorder="1" applyAlignment="1" applyProtection="1">
      <alignment wrapText="1"/>
      <protection locked="0"/>
    </xf>
    <xf numFmtId="168" fontId="28" fillId="0" borderId="3" xfId="17" applyNumberFormat="1" applyFont="1" applyFill="1" applyBorder="1" applyProtection="1">
      <protection locked="0"/>
    </xf>
    <xf numFmtId="43" fontId="28" fillId="0" borderId="64" xfId="3" applyFont="1" applyFill="1" applyBorder="1" applyProtection="1">
      <protection locked="0"/>
    </xf>
    <xf numFmtId="43" fontId="28" fillId="0" borderId="3" xfId="1" applyFont="1" applyFill="1" applyBorder="1" applyProtection="1">
      <protection locked="0"/>
    </xf>
    <xf numFmtId="43" fontId="28" fillId="0" borderId="3" xfId="1" quotePrefix="1" applyFont="1" applyBorder="1" applyAlignment="1" applyProtection="1">
      <alignment horizontal="center"/>
      <protection locked="0"/>
    </xf>
    <xf numFmtId="0" fontId="28" fillId="0" borderId="46" xfId="0" applyNumberFormat="1" applyFont="1" applyBorder="1" applyAlignment="1" applyProtection="1">
      <alignment horizontal="center"/>
      <protection locked="0"/>
    </xf>
    <xf numFmtId="0" fontId="28" fillId="0" borderId="3" xfId="0" applyFont="1" applyFill="1" applyBorder="1" applyAlignment="1" applyProtection="1">
      <alignment horizontal="left" wrapText="1"/>
      <protection locked="0"/>
    </xf>
    <xf numFmtId="0" fontId="28" fillId="0" borderId="46" xfId="0" quotePrefix="1" applyNumberFormat="1" applyFont="1" applyBorder="1" applyAlignment="1" applyProtection="1">
      <alignment horizontal="center"/>
      <protection locked="0"/>
    </xf>
    <xf numFmtId="0" fontId="28" fillId="0" borderId="59" xfId="0" applyFont="1" applyFill="1" applyBorder="1" applyProtection="1">
      <protection locked="0"/>
    </xf>
    <xf numFmtId="0" fontId="32" fillId="0" borderId="3" xfId="0" applyFont="1" applyFill="1" applyBorder="1" applyAlignment="1" applyProtection="1">
      <alignment horizontal="left" wrapText="1"/>
      <protection locked="0"/>
    </xf>
    <xf numFmtId="0" fontId="28" fillId="0" borderId="3" xfId="0" applyFont="1" applyFill="1" applyBorder="1" applyAlignment="1" applyProtection="1">
      <alignment wrapText="1"/>
      <protection locked="0"/>
    </xf>
    <xf numFmtId="0" fontId="28" fillId="0" borderId="3" xfId="0" applyFont="1" applyFill="1" applyBorder="1" applyProtection="1">
      <protection locked="0"/>
    </xf>
    <xf numFmtId="165" fontId="28" fillId="0" borderId="64" xfId="3" applyNumberFormat="1" applyFont="1" applyFill="1" applyBorder="1" applyProtection="1">
      <protection locked="0"/>
    </xf>
    <xf numFmtId="0" fontId="28" fillId="0" borderId="3" xfId="0" quotePrefix="1" applyNumberFormat="1" applyFont="1" applyBorder="1" applyAlignment="1" applyProtection="1">
      <alignment horizontal="center"/>
      <protection locked="0"/>
    </xf>
    <xf numFmtId="0" fontId="32" fillId="0" borderId="65" xfId="0" applyFont="1" applyBorder="1" applyProtection="1">
      <protection locked="0"/>
    </xf>
    <xf numFmtId="0" fontId="28" fillId="0" borderId="59" xfId="0" applyFont="1" applyBorder="1" applyProtection="1">
      <protection locked="0"/>
    </xf>
    <xf numFmtId="43" fontId="28" fillId="0" borderId="3" xfId="3" applyFont="1" applyBorder="1" applyProtection="1">
      <protection locked="0"/>
    </xf>
    <xf numFmtId="0" fontId="28" fillId="0" borderId="65" xfId="0" applyFont="1" applyBorder="1" applyProtection="1">
      <protection locked="0"/>
    </xf>
    <xf numFmtId="0" fontId="32" fillId="0" borderId="40" xfId="0" applyFont="1" applyBorder="1" applyProtection="1">
      <protection locked="0"/>
    </xf>
    <xf numFmtId="43" fontId="28" fillId="0" borderId="3" xfId="3" applyNumberFormat="1" applyFont="1" applyBorder="1" applyProtection="1">
      <protection locked="0"/>
    </xf>
    <xf numFmtId="165" fontId="28" fillId="0" borderId="3" xfId="3" applyNumberFormat="1" applyFont="1" applyBorder="1" applyProtection="1">
      <protection locked="0"/>
    </xf>
    <xf numFmtId="43" fontId="28" fillId="24" borderId="3" xfId="3" applyNumberFormat="1" applyFont="1" applyFill="1" applyBorder="1" applyProtection="1"/>
    <xf numFmtId="0" fontId="28" fillId="0" borderId="0" xfId="0" applyFont="1" applyProtection="1"/>
    <xf numFmtId="168" fontId="30" fillId="16" borderId="23" xfId="15" applyNumberFormat="1" applyFont="1" applyFill="1" applyBorder="1" applyAlignment="1" applyProtection="1">
      <alignment vertical="center"/>
    </xf>
    <xf numFmtId="168" fontId="29" fillId="16" borderId="23" xfId="15" applyNumberFormat="1" applyFont="1" applyFill="1" applyBorder="1" applyAlignment="1" applyProtection="1">
      <alignment vertical="center"/>
    </xf>
    <xf numFmtId="168" fontId="30" fillId="16" borderId="0" xfId="15" applyNumberFormat="1" applyFont="1" applyFill="1" applyBorder="1" applyProtection="1"/>
    <xf numFmtId="43" fontId="30" fillId="16" borderId="23" xfId="8" applyNumberFormat="1" applyFont="1" applyFill="1" applyBorder="1" applyAlignment="1" applyProtection="1">
      <alignment vertical="center"/>
    </xf>
    <xf numFmtId="43" fontId="30" fillId="16" borderId="0" xfId="8" applyNumberFormat="1" applyFont="1" applyFill="1" applyBorder="1" applyAlignment="1" applyProtection="1"/>
    <xf numFmtId="43" fontId="30" fillId="19" borderId="23" xfId="8" applyNumberFormat="1" applyFont="1" applyFill="1" applyBorder="1" applyAlignment="1" applyProtection="1"/>
    <xf numFmtId="0" fontId="21" fillId="7" borderId="0" xfId="0" applyFont="1" applyFill="1" applyBorder="1" applyAlignment="1" applyProtection="1"/>
    <xf numFmtId="0" fontId="21" fillId="7" borderId="0" xfId="0" applyFont="1" applyFill="1" applyBorder="1" applyProtection="1"/>
    <xf numFmtId="0" fontId="4" fillId="7" borderId="0" xfId="0" applyFont="1" applyFill="1" applyBorder="1" applyAlignment="1" applyProtection="1"/>
    <xf numFmtId="0" fontId="30" fillId="16" borderId="23" xfId="0" applyFont="1" applyFill="1" applyBorder="1" applyAlignment="1" applyProtection="1">
      <alignment horizontal="right"/>
    </xf>
    <xf numFmtId="43" fontId="30" fillId="16" borderId="23" xfId="1" applyFont="1" applyFill="1" applyBorder="1" applyAlignment="1" applyProtection="1">
      <alignment horizontal="center" vertical="center" wrapText="1"/>
    </xf>
    <xf numFmtId="43" fontId="29" fillId="16" borderId="0" xfId="1" applyFont="1" applyFill="1" applyBorder="1" applyProtection="1"/>
    <xf numFmtId="43" fontId="29" fillId="16" borderId="0" xfId="4" applyFont="1" applyFill="1" applyBorder="1" applyProtection="1"/>
    <xf numFmtId="43" fontId="29" fillId="0" borderId="23" xfId="1" applyFont="1" applyFill="1" applyBorder="1" applyAlignment="1" applyProtection="1">
      <alignment vertical="center"/>
      <protection locked="0"/>
    </xf>
    <xf numFmtId="43" fontId="29" fillId="0" borderId="23" xfId="1" applyFont="1" applyFill="1" applyBorder="1" applyAlignment="1" applyProtection="1">
      <alignment horizontal="left" vertical="center"/>
      <protection locked="0"/>
    </xf>
    <xf numFmtId="43" fontId="29" fillId="0" borderId="0" xfId="4" applyFont="1" applyFill="1" applyBorder="1" applyAlignment="1" applyProtection="1">
      <protection locked="0"/>
    </xf>
    <xf numFmtId="43" fontId="29" fillId="0" borderId="0" xfId="1" applyFont="1" applyFill="1" applyBorder="1" applyProtection="1">
      <protection locked="0"/>
    </xf>
    <xf numFmtId="43" fontId="29" fillId="0" borderId="0" xfId="4" applyFont="1" applyFill="1" applyBorder="1" applyProtection="1">
      <protection locked="0"/>
    </xf>
    <xf numFmtId="9" fontId="29" fillId="0" borderId="0" xfId="15" applyFont="1" applyFill="1" applyBorder="1" applyProtection="1">
      <protection locked="0"/>
    </xf>
    <xf numFmtId="43" fontId="29" fillId="0" borderId="0" xfId="4" applyFont="1" applyFill="1" applyBorder="1" applyProtection="1"/>
    <xf numFmtId="43" fontId="29" fillId="0" borderId="0" xfId="1" applyFont="1" applyFill="1" applyBorder="1" applyAlignment="1" applyProtection="1">
      <protection locked="0"/>
    </xf>
    <xf numFmtId="43" fontId="29" fillId="0" borderId="0" xfId="1" applyFont="1" applyFill="1" applyBorder="1" applyProtection="1"/>
    <xf numFmtId="165" fontId="29" fillId="0" borderId="0" xfId="1" applyNumberFormat="1" applyFont="1" applyFill="1" applyBorder="1" applyAlignment="1" applyProtection="1">
      <protection locked="0"/>
    </xf>
    <xf numFmtId="9" fontId="29" fillId="16" borderId="0" xfId="15" applyFont="1" applyFill="1" applyBorder="1" applyProtection="1"/>
    <xf numFmtId="43" fontId="43" fillId="16" borderId="0" xfId="1" applyFont="1" applyFill="1" applyBorder="1" applyProtection="1"/>
    <xf numFmtId="0" fontId="29" fillId="16" borderId="54" xfId="0" applyFont="1" applyFill="1" applyBorder="1" applyProtection="1"/>
    <xf numFmtId="43" fontId="29" fillId="16" borderId="40" xfId="1" applyFont="1" applyFill="1" applyBorder="1" applyProtection="1"/>
    <xf numFmtId="0" fontId="29" fillId="16" borderId="0" xfId="0" applyFont="1" applyFill="1" applyBorder="1" applyProtection="1"/>
    <xf numFmtId="0" fontId="29" fillId="16" borderId="20" xfId="0" applyFont="1" applyFill="1" applyBorder="1" applyProtection="1"/>
    <xf numFmtId="9" fontId="30" fillId="16" borderId="0" xfId="15" applyFont="1" applyFill="1" applyBorder="1" applyProtection="1"/>
    <xf numFmtId="9" fontId="29" fillId="16" borderId="0" xfId="18" applyFont="1" applyFill="1" applyBorder="1" applyProtection="1"/>
    <xf numFmtId="9" fontId="29" fillId="0" borderId="0" xfId="18" applyFont="1" applyFill="1" applyBorder="1" applyProtection="1"/>
    <xf numFmtId="9" fontId="29" fillId="0" borderId="0" xfId="15" applyFont="1" applyFill="1" applyBorder="1" applyProtection="1"/>
    <xf numFmtId="168" fontId="29" fillId="19" borderId="23" xfId="15" applyNumberFormat="1" applyFont="1" applyFill="1" applyBorder="1" applyAlignment="1" applyProtection="1">
      <alignment vertical="center"/>
    </xf>
    <xf numFmtId="9" fontId="29" fillId="16" borderId="23" xfId="15" applyFont="1" applyFill="1" applyBorder="1" applyProtection="1">
      <protection locked="0"/>
    </xf>
    <xf numFmtId="43" fontId="29" fillId="16" borderId="23" xfId="0" applyNumberFormat="1" applyFont="1" applyFill="1" applyBorder="1" applyAlignment="1" applyProtection="1">
      <alignment vertical="center"/>
      <protection locked="0"/>
    </xf>
    <xf numFmtId="43" fontId="29" fillId="16" borderId="23" xfId="0" applyNumberFormat="1" applyFont="1" applyFill="1" applyBorder="1" applyAlignment="1" applyProtection="1">
      <alignment horizontal="left" vertical="center"/>
    </xf>
    <xf numFmtId="43" fontId="30" fillId="16" borderId="23" xfId="8" applyNumberFormat="1" applyFont="1" applyFill="1" applyBorder="1" applyAlignment="1" applyProtection="1">
      <alignment horizontal="right" vertical="center"/>
    </xf>
    <xf numFmtId="43" fontId="30" fillId="16" borderId="23" xfId="0" applyNumberFormat="1" applyFont="1" applyFill="1" applyBorder="1" applyAlignment="1" applyProtection="1">
      <alignment vertical="center"/>
    </xf>
    <xf numFmtId="43" fontId="30" fillId="16" borderId="23" xfId="0" applyNumberFormat="1" applyFont="1" applyFill="1" applyBorder="1" applyAlignment="1" applyProtection="1">
      <alignment horizontal="left" vertical="center"/>
    </xf>
    <xf numFmtId="43" fontId="29" fillId="16" borderId="23" xfId="0" applyNumberFormat="1" applyFont="1" applyFill="1" applyBorder="1" applyAlignment="1" applyProtection="1">
      <alignment vertical="center"/>
    </xf>
    <xf numFmtId="43" fontId="30" fillId="16" borderId="23" xfId="8" applyNumberFormat="1" applyFont="1" applyFill="1" applyBorder="1" applyAlignment="1" applyProtection="1">
      <alignment horizontal="left" vertical="center"/>
    </xf>
    <xf numFmtId="43" fontId="30" fillId="16" borderId="23" xfId="0" applyNumberFormat="1" applyFont="1" applyFill="1" applyBorder="1" applyAlignment="1" applyProtection="1">
      <alignment vertical="center" wrapText="1"/>
    </xf>
    <xf numFmtId="170" fontId="29" fillId="16" borderId="23" xfId="0" applyNumberFormat="1" applyFont="1" applyFill="1" applyBorder="1" applyAlignment="1" applyProtection="1">
      <alignment horizontal="left" vertical="center" indent="1"/>
    </xf>
    <xf numFmtId="43" fontId="30" fillId="22" borderId="23" xfId="8" applyNumberFormat="1" applyFont="1" applyFill="1" applyBorder="1" applyAlignment="1" applyProtection="1">
      <alignment vertical="center"/>
    </xf>
    <xf numFmtId="43" fontId="30" fillId="22" borderId="23" xfId="1" applyFont="1" applyFill="1" applyBorder="1" applyAlignment="1" applyProtection="1">
      <alignment vertical="center"/>
    </xf>
    <xf numFmtId="168" fontId="30" fillId="22" borderId="23" xfId="15" applyNumberFormat="1" applyFont="1" applyFill="1" applyBorder="1" applyAlignment="1" applyProtection="1">
      <alignment vertical="center"/>
    </xf>
    <xf numFmtId="43" fontId="30" fillId="22" borderId="23" xfId="1" applyFont="1" applyFill="1" applyBorder="1" applyAlignment="1" applyProtection="1">
      <alignment vertical="center"/>
      <protection locked="0"/>
    </xf>
    <xf numFmtId="43" fontId="30" fillId="19" borderId="33" xfId="0" applyNumberFormat="1" applyFont="1" applyFill="1" applyBorder="1" applyAlignment="1" applyProtection="1">
      <alignment vertical="center"/>
    </xf>
    <xf numFmtId="43" fontId="30" fillId="16" borderId="33" xfId="0" applyNumberFormat="1" applyFont="1" applyFill="1" applyBorder="1" applyAlignment="1" applyProtection="1">
      <alignment horizontal="left" vertical="center" indent="2"/>
    </xf>
    <xf numFmtId="0" fontId="29" fillId="16" borderId="33" xfId="0" applyFont="1" applyFill="1" applyBorder="1" applyAlignment="1" applyProtection="1">
      <alignment horizontal="left" vertical="center" wrapText="1" indent="2"/>
    </xf>
    <xf numFmtId="43" fontId="30" fillId="22" borderId="28" xfId="1" applyFont="1" applyFill="1" applyBorder="1" applyAlignment="1" applyProtection="1">
      <alignment vertical="center"/>
    </xf>
    <xf numFmtId="43" fontId="30" fillId="19" borderId="36" xfId="1" applyFont="1" applyFill="1" applyBorder="1" applyProtection="1"/>
    <xf numFmtId="0" fontId="48" fillId="16" borderId="0" xfId="0" applyFont="1" applyFill="1" applyBorder="1" applyAlignment="1" applyProtection="1"/>
    <xf numFmtId="0" fontId="32" fillId="25" borderId="65" xfId="0" applyFont="1" applyFill="1" applyBorder="1" applyProtection="1"/>
    <xf numFmtId="0" fontId="28" fillId="25" borderId="59" xfId="0" applyFont="1" applyFill="1" applyBorder="1" applyProtection="1"/>
    <xf numFmtId="0" fontId="28" fillId="25" borderId="3" xfId="0" applyFont="1" applyFill="1" applyBorder="1" applyProtection="1"/>
    <xf numFmtId="165" fontId="28" fillId="25" borderId="3" xfId="3" applyNumberFormat="1" applyFont="1" applyFill="1" applyBorder="1" applyProtection="1"/>
    <xf numFmtId="168" fontId="28" fillId="25" borderId="3" xfId="17" applyNumberFormat="1" applyFont="1" applyFill="1" applyBorder="1" applyProtection="1"/>
    <xf numFmtId="0" fontId="28" fillId="25" borderId="46" xfId="0" quotePrefix="1" applyNumberFormat="1" applyFont="1" applyFill="1" applyBorder="1" applyAlignment="1" applyProtection="1">
      <alignment horizontal="center"/>
    </xf>
    <xf numFmtId="0" fontId="49" fillId="26" borderId="66" xfId="0" applyFont="1" applyFill="1" applyBorder="1" applyAlignment="1" applyProtection="1">
      <alignment vertical="center" wrapText="1"/>
    </xf>
    <xf numFmtId="0" fontId="32" fillId="26" borderId="67" xfId="0" applyFont="1" applyFill="1" applyBorder="1" applyAlignment="1" applyProtection="1">
      <alignment horizontal="left" wrapText="1"/>
    </xf>
    <xf numFmtId="0" fontId="28" fillId="26" borderId="67" xfId="0" applyFont="1" applyFill="1" applyBorder="1" applyAlignment="1" applyProtection="1">
      <alignment wrapText="1"/>
    </xf>
    <xf numFmtId="0" fontId="28" fillId="26" borderId="67" xfId="0" applyFont="1" applyFill="1" applyBorder="1" applyProtection="1"/>
    <xf numFmtId="165" fontId="28" fillId="26" borderId="67" xfId="2" applyNumberFormat="1" applyFont="1" applyFill="1" applyBorder="1" applyProtection="1"/>
    <xf numFmtId="166" fontId="28" fillId="26" borderId="67" xfId="9" applyNumberFormat="1" applyFont="1" applyFill="1" applyBorder="1" applyProtection="1"/>
    <xf numFmtId="0" fontId="28" fillId="26" borderId="67" xfId="0" applyNumberFormat="1" applyFont="1" applyFill="1" applyBorder="1" applyAlignment="1" applyProtection="1">
      <alignment horizontal="center"/>
    </xf>
    <xf numFmtId="0" fontId="28" fillId="0" borderId="65" xfId="0" applyFont="1" applyFill="1" applyBorder="1" applyAlignment="1" applyProtection="1">
      <alignment wrapText="1"/>
      <protection locked="0"/>
    </xf>
    <xf numFmtId="165" fontId="28" fillId="0" borderId="3" xfId="2" applyNumberFormat="1" applyFont="1" applyFill="1" applyBorder="1" applyProtection="1">
      <protection locked="0"/>
    </xf>
    <xf numFmtId="166" fontId="28" fillId="0" borderId="3" xfId="9" applyNumberFormat="1" applyFont="1" applyFill="1" applyBorder="1" applyProtection="1">
      <protection locked="0"/>
    </xf>
    <xf numFmtId="0" fontId="28" fillId="0" borderId="35" xfId="0" applyFont="1" applyFill="1" applyBorder="1" applyProtection="1">
      <protection locked="0"/>
    </xf>
    <xf numFmtId="0" fontId="28" fillId="0" borderId="3" xfId="0" applyNumberFormat="1" applyFont="1" applyBorder="1" applyAlignment="1" applyProtection="1">
      <alignment horizontal="center"/>
      <protection locked="0"/>
    </xf>
    <xf numFmtId="0" fontId="28" fillId="0" borderId="46" xfId="0" applyFont="1" applyBorder="1" applyAlignment="1" applyProtection="1">
      <alignment wrapText="1"/>
      <protection locked="0"/>
    </xf>
    <xf numFmtId="9" fontId="28" fillId="0" borderId="3" xfId="15" applyNumberFormat="1" applyFont="1" applyBorder="1" applyAlignment="1" applyProtection="1">
      <alignment horizontal="center"/>
      <protection locked="0"/>
    </xf>
    <xf numFmtId="9" fontId="28" fillId="0" borderId="36" xfId="15" applyNumberFormat="1" applyFont="1" applyBorder="1" applyAlignment="1" applyProtection="1">
      <alignment horizontal="center"/>
      <protection locked="0"/>
    </xf>
    <xf numFmtId="0" fontId="47" fillId="0" borderId="0" xfId="0" applyFont="1" applyProtection="1"/>
    <xf numFmtId="0" fontId="47" fillId="0" borderId="0" xfId="0" applyFont="1" applyAlignment="1" applyProtection="1">
      <alignment wrapText="1"/>
    </xf>
    <xf numFmtId="0" fontId="28" fillId="0" borderId="0" xfId="0" applyFont="1" applyAlignment="1" applyProtection="1">
      <alignment wrapText="1"/>
    </xf>
    <xf numFmtId="0" fontId="34" fillId="3" borderId="32" xfId="0" applyFont="1" applyFill="1" applyBorder="1" applyAlignment="1" applyProtection="1">
      <alignment horizontal="center" wrapText="1"/>
    </xf>
    <xf numFmtId="44" fontId="28" fillId="26" borderId="68" xfId="8" applyFont="1" applyFill="1" applyBorder="1" applyProtection="1"/>
    <xf numFmtId="9" fontId="28" fillId="26" borderId="67" xfId="15" applyNumberFormat="1" applyFont="1" applyFill="1" applyBorder="1" applyAlignment="1" applyProtection="1">
      <alignment horizontal="center"/>
    </xf>
    <xf numFmtId="0" fontId="28" fillId="26" borderId="69" xfId="0" applyFont="1" applyFill="1" applyBorder="1" applyAlignment="1" applyProtection="1">
      <alignment wrapText="1"/>
    </xf>
    <xf numFmtId="0" fontId="33" fillId="3" borderId="4" xfId="0" applyFont="1" applyFill="1" applyBorder="1" applyAlignment="1" applyProtection="1">
      <alignment horizontal="center" wrapText="1"/>
      <protection locked="0"/>
    </xf>
    <xf numFmtId="0" fontId="33" fillId="3" borderId="5" xfId="0" applyFont="1" applyFill="1" applyBorder="1" applyAlignment="1" applyProtection="1">
      <alignment horizontal="center" wrapText="1"/>
      <protection locked="0"/>
    </xf>
    <xf numFmtId="0" fontId="33" fillId="3" borderId="5" xfId="0" applyFont="1" applyFill="1" applyBorder="1" applyAlignment="1" applyProtection="1">
      <alignment vertical="center" wrapText="1"/>
      <protection locked="0"/>
    </xf>
    <xf numFmtId="0" fontId="30" fillId="2" borderId="6" xfId="0" applyFont="1" applyFill="1" applyBorder="1" applyProtection="1">
      <protection locked="0"/>
    </xf>
    <xf numFmtId="0" fontId="29" fillId="2" borderId="6" xfId="0" applyFont="1" applyFill="1" applyBorder="1" applyProtection="1">
      <protection locked="0"/>
    </xf>
    <xf numFmtId="0" fontId="29" fillId="0" borderId="59" xfId="0" applyFont="1" applyFill="1" applyBorder="1" applyAlignment="1" applyProtection="1">
      <alignment vertical="top" wrapText="1"/>
      <protection locked="0"/>
    </xf>
    <xf numFmtId="0" fontId="30" fillId="0" borderId="3" xfId="0" applyFont="1" applyFill="1" applyBorder="1" applyAlignment="1" applyProtection="1">
      <alignment horizontal="left" vertical="top" wrapText="1"/>
      <protection locked="0"/>
    </xf>
    <xf numFmtId="0" fontId="29" fillId="0" borderId="3" xfId="0" applyFont="1" applyFill="1" applyBorder="1" applyAlignment="1" applyProtection="1">
      <alignment vertical="top" wrapText="1"/>
      <protection locked="0"/>
    </xf>
    <xf numFmtId="0" fontId="29" fillId="0" borderId="3" xfId="0" applyFont="1" applyFill="1" applyBorder="1" applyAlignment="1" applyProtection="1">
      <alignment vertical="top"/>
      <protection locked="0"/>
    </xf>
    <xf numFmtId="165" fontId="29" fillId="0" borderId="3" xfId="2" applyNumberFormat="1" applyFont="1" applyFill="1" applyBorder="1" applyAlignment="1" applyProtection="1">
      <alignment vertical="top"/>
      <protection locked="0"/>
    </xf>
    <xf numFmtId="0" fontId="33" fillId="3" borderId="0" xfId="0" applyFont="1" applyFill="1" applyBorder="1" applyAlignment="1" applyProtection="1">
      <alignment horizontal="center" wrapText="1"/>
      <protection locked="0"/>
    </xf>
    <xf numFmtId="165" fontId="29" fillId="0" borderId="3" xfId="3" applyNumberFormat="1" applyFont="1" applyFill="1" applyBorder="1" applyAlignment="1" applyProtection="1">
      <alignment vertical="top"/>
      <protection locked="0"/>
    </xf>
    <xf numFmtId="0" fontId="29" fillId="0" borderId="0" xfId="0" applyFont="1" applyBorder="1" applyProtection="1">
      <protection locked="0"/>
    </xf>
    <xf numFmtId="0" fontId="33" fillId="3" borderId="70" xfId="0" applyFont="1" applyFill="1" applyBorder="1" applyAlignment="1" applyProtection="1">
      <alignment horizontal="center" wrapText="1"/>
      <protection locked="0"/>
    </xf>
    <xf numFmtId="0" fontId="33" fillId="3" borderId="8" xfId="0" applyFont="1" applyFill="1" applyBorder="1" applyAlignment="1" applyProtection="1">
      <alignment horizontal="center" wrapText="1"/>
      <protection locked="0"/>
    </xf>
    <xf numFmtId="0" fontId="29" fillId="0" borderId="71" xfId="0" applyFont="1" applyFill="1" applyBorder="1" applyAlignment="1" applyProtection="1">
      <alignment vertical="top" wrapText="1"/>
      <protection locked="0"/>
    </xf>
    <xf numFmtId="0" fontId="30" fillId="0" borderId="72" xfId="0" applyFont="1" applyFill="1" applyBorder="1" applyAlignment="1" applyProtection="1">
      <alignment horizontal="left" vertical="top" wrapText="1"/>
      <protection locked="0"/>
    </xf>
    <xf numFmtId="0" fontId="29" fillId="0" borderId="72" xfId="0" applyFont="1" applyFill="1" applyBorder="1" applyAlignment="1" applyProtection="1">
      <alignment vertical="top" wrapText="1"/>
      <protection locked="0"/>
    </xf>
    <xf numFmtId="0" fontId="29" fillId="0" borderId="72" xfId="0" applyFont="1" applyFill="1" applyBorder="1" applyAlignment="1" applyProtection="1">
      <alignment vertical="top"/>
      <protection locked="0"/>
    </xf>
    <xf numFmtId="165" fontId="29" fillId="0" borderId="71" xfId="3" applyNumberFormat="1" applyFont="1" applyFill="1" applyBorder="1" applyAlignment="1" applyProtection="1">
      <alignment vertical="top"/>
      <protection locked="0"/>
    </xf>
    <xf numFmtId="165" fontId="29" fillId="0" borderId="59" xfId="3" applyNumberFormat="1" applyFont="1" applyFill="1" applyBorder="1" applyAlignment="1" applyProtection="1">
      <alignment vertical="top"/>
      <protection locked="0"/>
    </xf>
    <xf numFmtId="0" fontId="29" fillId="22" borderId="59" xfId="0" applyFont="1" applyFill="1" applyBorder="1" applyAlignment="1" applyProtection="1">
      <alignment vertical="top" wrapText="1"/>
      <protection locked="0"/>
    </xf>
    <xf numFmtId="0" fontId="30" fillId="22" borderId="3" xfId="0" applyFont="1" applyFill="1" applyBorder="1" applyAlignment="1" applyProtection="1">
      <alignment horizontal="left" vertical="top" wrapText="1"/>
      <protection locked="0"/>
    </xf>
    <xf numFmtId="0" fontId="29" fillId="22" borderId="3" xfId="0" applyFont="1" applyFill="1" applyBorder="1" applyAlignment="1" applyProtection="1">
      <alignment vertical="top" wrapText="1"/>
      <protection locked="0"/>
    </xf>
    <xf numFmtId="0" fontId="29" fillId="22" borderId="3" xfId="0" applyFont="1" applyFill="1" applyBorder="1" applyAlignment="1" applyProtection="1">
      <alignment vertical="top"/>
      <protection locked="0"/>
    </xf>
    <xf numFmtId="165" fontId="29" fillId="22" borderId="59" xfId="3" applyNumberFormat="1" applyFont="1" applyFill="1" applyBorder="1" applyAlignment="1" applyProtection="1">
      <alignment vertical="top"/>
      <protection locked="0"/>
    </xf>
    <xf numFmtId="0" fontId="33" fillId="3" borderId="60" xfId="0" applyFont="1" applyFill="1" applyBorder="1" applyAlignment="1" applyProtection="1">
      <alignment horizontal="center" wrapText="1"/>
      <protection locked="0"/>
    </xf>
    <xf numFmtId="0" fontId="33" fillId="3" borderId="61" xfId="0" applyFont="1" applyFill="1" applyBorder="1" applyAlignment="1" applyProtection="1">
      <alignment horizontal="center" wrapText="1"/>
      <protection locked="0"/>
    </xf>
    <xf numFmtId="0" fontId="29" fillId="12" borderId="0" xfId="0" applyFont="1" applyFill="1" applyBorder="1" applyAlignment="1" applyProtection="1">
      <alignment vertical="top" wrapText="1"/>
      <protection locked="0"/>
    </xf>
    <xf numFmtId="0" fontId="30" fillId="12" borderId="0" xfId="0" applyFont="1" applyFill="1" applyBorder="1" applyAlignment="1" applyProtection="1">
      <alignment horizontal="left" vertical="top" wrapText="1"/>
      <protection locked="0"/>
    </xf>
    <xf numFmtId="0" fontId="29" fillId="12" borderId="0" xfId="0" applyFont="1" applyFill="1" applyBorder="1" applyAlignment="1" applyProtection="1">
      <alignment vertical="top"/>
      <protection locked="0"/>
    </xf>
    <xf numFmtId="165" fontId="29" fillId="12" borderId="0" xfId="3" applyNumberFormat="1" applyFont="1" applyFill="1" applyBorder="1" applyAlignment="1" applyProtection="1">
      <alignment vertical="top"/>
      <protection locked="0"/>
    </xf>
    <xf numFmtId="0" fontId="29" fillId="0" borderId="0" xfId="0" applyFont="1" applyFill="1" applyBorder="1" applyAlignment="1" applyProtection="1">
      <alignment vertical="top"/>
      <protection locked="0"/>
    </xf>
    <xf numFmtId="0" fontId="30" fillId="0" borderId="28" xfId="0" applyFont="1" applyFill="1" applyBorder="1" applyAlignment="1" applyProtection="1">
      <alignment horizontal="left" vertical="top"/>
      <protection locked="0"/>
    </xf>
    <xf numFmtId="0" fontId="29" fillId="0" borderId="28" xfId="0" applyFont="1" applyFill="1" applyBorder="1" applyAlignment="1" applyProtection="1">
      <alignment vertical="top"/>
      <protection locked="0"/>
    </xf>
    <xf numFmtId="0" fontId="30" fillId="0" borderId="3" xfId="0" applyFont="1" applyFill="1" applyBorder="1" applyAlignment="1" applyProtection="1">
      <alignment horizontal="left" vertical="top"/>
      <protection locked="0"/>
    </xf>
    <xf numFmtId="0" fontId="30" fillId="0" borderId="36" xfId="0" applyFont="1" applyFill="1" applyBorder="1" applyAlignment="1" applyProtection="1">
      <alignment horizontal="left" vertical="top"/>
      <protection locked="0"/>
    </xf>
    <xf numFmtId="0" fontId="29" fillId="0" borderId="36" xfId="0" applyFont="1" applyFill="1" applyBorder="1" applyAlignment="1" applyProtection="1">
      <alignment vertical="top"/>
      <protection locked="0"/>
    </xf>
    <xf numFmtId="0" fontId="29" fillId="22" borderId="28" xfId="0" applyFont="1" applyFill="1" applyBorder="1" applyAlignment="1" applyProtection="1">
      <alignment vertical="top"/>
      <protection locked="0"/>
    </xf>
    <xf numFmtId="0" fontId="30" fillId="22" borderId="3" xfId="0" applyFont="1" applyFill="1" applyBorder="1" applyAlignment="1" applyProtection="1">
      <alignment horizontal="left" vertical="top"/>
      <protection locked="0"/>
    </xf>
    <xf numFmtId="165" fontId="29" fillId="22" borderId="0" xfId="3" applyNumberFormat="1" applyFont="1" applyFill="1" applyBorder="1" applyAlignment="1" applyProtection="1">
      <alignment vertical="top"/>
      <protection locked="0"/>
    </xf>
    <xf numFmtId="165" fontId="29" fillId="0" borderId="0" xfId="3" applyNumberFormat="1" applyFont="1" applyFill="1" applyBorder="1" applyAlignment="1" applyProtection="1">
      <alignment vertical="top"/>
      <protection locked="0"/>
    </xf>
    <xf numFmtId="0" fontId="33" fillId="3" borderId="73" xfId="0" applyFont="1" applyFill="1" applyBorder="1" applyAlignment="1" applyProtection="1">
      <alignment horizontal="center" wrapText="1"/>
      <protection locked="0"/>
    </xf>
    <xf numFmtId="0" fontId="33" fillId="3" borderId="74" xfId="0" applyFont="1" applyFill="1" applyBorder="1" applyAlignment="1" applyProtection="1">
      <alignment horizontal="center" wrapText="1"/>
      <protection locked="0"/>
    </xf>
    <xf numFmtId="0" fontId="30" fillId="0" borderId="36" xfId="0" applyFont="1" applyFill="1" applyBorder="1" applyAlignment="1" applyProtection="1">
      <alignment horizontal="left" vertical="top" wrapText="1"/>
      <protection locked="0"/>
    </xf>
    <xf numFmtId="0" fontId="29" fillId="0" borderId="36" xfId="0" applyFont="1" applyFill="1" applyBorder="1" applyAlignment="1" applyProtection="1">
      <alignment vertical="top" wrapText="1"/>
      <protection locked="0"/>
    </xf>
    <xf numFmtId="0" fontId="33" fillId="3" borderId="75" xfId="0" applyFont="1" applyFill="1" applyBorder="1" applyAlignment="1" applyProtection="1">
      <alignment horizontal="center" wrapText="1"/>
      <protection locked="0"/>
    </xf>
    <xf numFmtId="0" fontId="29" fillId="12" borderId="0" xfId="0" applyFont="1" applyFill="1" applyBorder="1" applyAlignment="1" applyProtection="1">
      <alignment horizontal="left" vertical="top" wrapText="1"/>
      <protection locked="0"/>
    </xf>
    <xf numFmtId="0" fontId="33" fillId="3" borderId="3" xfId="0" applyFont="1" applyFill="1" applyBorder="1" applyProtection="1">
      <protection locked="0"/>
    </xf>
    <xf numFmtId="0" fontId="30" fillId="0" borderId="28" xfId="0" applyFont="1" applyFill="1" applyBorder="1" applyProtection="1">
      <protection locked="0"/>
    </xf>
    <xf numFmtId="0" fontId="30" fillId="0" borderId="3" xfId="0" applyFont="1" applyFill="1" applyBorder="1" applyProtection="1">
      <protection locked="0"/>
    </xf>
    <xf numFmtId="0" fontId="30" fillId="0" borderId="36" xfId="0" applyFont="1" applyFill="1" applyBorder="1" applyProtection="1">
      <protection locked="0"/>
    </xf>
    <xf numFmtId="0" fontId="30" fillId="22" borderId="3" xfId="0" applyFont="1" applyFill="1" applyBorder="1" applyProtection="1">
      <protection locked="0"/>
    </xf>
    <xf numFmtId="0" fontId="33" fillId="22" borderId="3" xfId="0" applyFont="1" applyFill="1" applyBorder="1" applyProtection="1">
      <protection locked="0"/>
    </xf>
    <xf numFmtId="0" fontId="29" fillId="0" borderId="3" xfId="0" applyFont="1" applyFill="1" applyBorder="1" applyProtection="1">
      <protection locked="0"/>
    </xf>
    <xf numFmtId="0" fontId="29" fillId="22" borderId="3" xfId="0" applyFont="1" applyFill="1" applyBorder="1" applyProtection="1">
      <protection locked="0"/>
    </xf>
    <xf numFmtId="0" fontId="29" fillId="22" borderId="0" xfId="0" applyFont="1" applyFill="1" applyBorder="1" applyProtection="1">
      <protection locked="0"/>
    </xf>
    <xf numFmtId="0" fontId="33" fillId="3" borderId="76" xfId="0" applyFont="1" applyFill="1" applyBorder="1" applyAlignment="1" applyProtection="1">
      <alignment horizontal="center" wrapText="1"/>
      <protection locked="0"/>
    </xf>
    <xf numFmtId="0" fontId="33" fillId="3" borderId="0" xfId="0" applyFont="1" applyFill="1" applyBorder="1" applyProtection="1">
      <protection locked="0"/>
    </xf>
    <xf numFmtId="0" fontId="29" fillId="0" borderId="3" xfId="0" applyFont="1" applyFill="1" applyBorder="1" applyAlignment="1" applyProtection="1">
      <alignment horizontal="left" vertical="top" wrapText="1"/>
      <protection locked="0"/>
    </xf>
    <xf numFmtId="0" fontId="50" fillId="3" borderId="0" xfId="0" applyFont="1" applyFill="1" applyBorder="1" applyProtection="1">
      <protection locked="0"/>
    </xf>
    <xf numFmtId="0" fontId="29" fillId="0" borderId="59" xfId="0" applyFont="1" applyFill="1" applyBorder="1" applyProtection="1">
      <protection locked="0"/>
    </xf>
    <xf numFmtId="0" fontId="30" fillId="0" borderId="3" xfId="0" applyFont="1" applyFill="1" applyBorder="1" applyAlignment="1" applyProtection="1">
      <alignment horizontal="left" wrapText="1"/>
      <protection locked="0"/>
    </xf>
    <xf numFmtId="0" fontId="29" fillId="0" borderId="3" xfId="0" applyFont="1" applyFill="1" applyBorder="1" applyAlignment="1" applyProtection="1">
      <alignment wrapText="1"/>
      <protection locked="0"/>
    </xf>
    <xf numFmtId="165" fontId="29" fillId="0" borderId="3" xfId="3" applyNumberFormat="1" applyFont="1" applyFill="1" applyBorder="1" applyProtection="1">
      <protection locked="0"/>
    </xf>
    <xf numFmtId="0" fontId="33" fillId="3" borderId="8"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left" wrapText="1"/>
      <protection locked="0"/>
    </xf>
    <xf numFmtId="0" fontId="33" fillId="3" borderId="10" xfId="0" applyFont="1" applyFill="1" applyBorder="1" applyProtection="1">
      <protection locked="0"/>
    </xf>
    <xf numFmtId="0" fontId="29" fillId="0" borderId="0" xfId="0" applyFont="1" applyProtection="1">
      <protection locked="0"/>
    </xf>
    <xf numFmtId="0" fontId="33" fillId="3" borderId="77" xfId="0" applyFont="1" applyFill="1" applyBorder="1" applyAlignment="1" applyProtection="1">
      <alignment horizontal="center" wrapText="1"/>
      <protection locked="0"/>
    </xf>
    <xf numFmtId="0" fontId="29" fillId="2" borderId="78" xfId="0" applyFont="1" applyFill="1" applyBorder="1" applyProtection="1">
      <protection locked="0"/>
    </xf>
    <xf numFmtId="0" fontId="29" fillId="0" borderId="3" xfId="0" applyNumberFormat="1" applyFont="1" applyBorder="1" applyAlignment="1" applyProtection="1">
      <alignment horizontal="center" vertical="top"/>
      <protection locked="0"/>
    </xf>
    <xf numFmtId="0" fontId="33" fillId="3" borderId="14" xfId="0" applyFont="1" applyFill="1" applyBorder="1" applyAlignment="1" applyProtection="1">
      <alignment horizontal="center" wrapText="1"/>
      <protection locked="0"/>
    </xf>
    <xf numFmtId="0" fontId="29" fillId="0" borderId="71" xfId="0" applyNumberFormat="1" applyFont="1" applyBorder="1" applyAlignment="1" applyProtection="1">
      <alignment horizontal="center" vertical="top"/>
      <protection locked="0"/>
    </xf>
    <xf numFmtId="0" fontId="29" fillId="0" borderId="59" xfId="0" applyNumberFormat="1" applyFont="1" applyBorder="1" applyAlignment="1" applyProtection="1">
      <alignment horizontal="center" vertical="top"/>
      <protection locked="0"/>
    </xf>
    <xf numFmtId="0" fontId="29" fillId="22" borderId="59" xfId="0" applyNumberFormat="1" applyFont="1" applyFill="1" applyBorder="1" applyAlignment="1" applyProtection="1">
      <alignment horizontal="center" vertical="top"/>
      <protection locked="0"/>
    </xf>
    <xf numFmtId="0" fontId="29" fillId="12" borderId="0" xfId="0" applyNumberFormat="1" applyFont="1" applyFill="1" applyBorder="1" applyAlignment="1" applyProtection="1">
      <alignment horizontal="center" vertical="top"/>
      <protection locked="0"/>
    </xf>
    <xf numFmtId="0" fontId="29" fillId="0" borderId="3" xfId="0" quotePrefix="1" applyNumberFormat="1" applyFont="1" applyBorder="1" applyAlignment="1" applyProtection="1">
      <alignment horizontal="center" vertical="top"/>
      <protection locked="0"/>
    </xf>
    <xf numFmtId="0" fontId="29" fillId="22" borderId="0" xfId="0" applyNumberFormat="1" applyFont="1" applyFill="1" applyBorder="1" applyAlignment="1" applyProtection="1">
      <alignment horizontal="center" vertical="top"/>
      <protection locked="0"/>
    </xf>
    <xf numFmtId="0" fontId="29" fillId="22" borderId="79" xfId="0" applyNumberFormat="1" applyFont="1" applyFill="1" applyBorder="1" applyAlignment="1" applyProtection="1">
      <alignment horizontal="center" vertical="top"/>
      <protection locked="0"/>
    </xf>
    <xf numFmtId="0" fontId="29" fillId="0" borderId="0" xfId="0" applyNumberFormat="1" applyFont="1" applyBorder="1" applyAlignment="1" applyProtection="1">
      <alignment horizontal="center" vertical="top"/>
      <protection locked="0"/>
    </xf>
    <xf numFmtId="0" fontId="29" fillId="12" borderId="0" xfId="0" quotePrefix="1" applyNumberFormat="1" applyFont="1" applyFill="1" applyBorder="1" applyAlignment="1" applyProtection="1">
      <alignment horizontal="center" vertical="top"/>
      <protection locked="0"/>
    </xf>
    <xf numFmtId="166" fontId="33" fillId="3" borderId="59" xfId="0" applyNumberFormat="1" applyFont="1" applyFill="1" applyBorder="1" applyProtection="1">
      <protection locked="0"/>
    </xf>
    <xf numFmtId="166" fontId="30" fillId="0" borderId="27" xfId="0" applyNumberFormat="1" applyFont="1" applyFill="1" applyBorder="1" applyProtection="1">
      <protection locked="0"/>
    </xf>
    <xf numFmtId="166" fontId="30" fillId="0" borderId="59" xfId="0" applyNumberFormat="1" applyFont="1" applyFill="1" applyBorder="1" applyProtection="1">
      <protection locked="0"/>
    </xf>
    <xf numFmtId="166" fontId="30" fillId="0" borderId="26" xfId="0" applyNumberFormat="1" applyFont="1" applyFill="1" applyBorder="1" applyProtection="1">
      <protection locked="0"/>
    </xf>
    <xf numFmtId="166" fontId="30" fillId="22" borderId="59" xfId="0" applyNumberFormat="1" applyFont="1" applyFill="1" applyBorder="1" applyProtection="1">
      <protection locked="0"/>
    </xf>
    <xf numFmtId="166" fontId="33" fillId="22" borderId="59" xfId="0" applyNumberFormat="1" applyFont="1" applyFill="1" applyBorder="1" applyProtection="1">
      <protection locked="0"/>
    </xf>
    <xf numFmtId="0" fontId="29" fillId="22" borderId="59" xfId="0" applyFont="1" applyFill="1" applyBorder="1" applyProtection="1">
      <protection locked="0"/>
    </xf>
    <xf numFmtId="166" fontId="33" fillId="3" borderId="0" xfId="0" applyNumberFormat="1" applyFont="1" applyFill="1" applyBorder="1" applyProtection="1">
      <protection locked="0"/>
    </xf>
    <xf numFmtId="0" fontId="29" fillId="0" borderId="3" xfId="0" quotePrefix="1" applyNumberFormat="1" applyFont="1" applyBorder="1" applyAlignment="1" applyProtection="1">
      <alignment horizontal="center"/>
      <protection locked="0"/>
    </xf>
    <xf numFmtId="166" fontId="33" fillId="3" borderId="10" xfId="0" applyNumberFormat="1" applyFont="1" applyFill="1" applyBorder="1" applyProtection="1">
      <protection locked="0"/>
    </xf>
    <xf numFmtId="43" fontId="29" fillId="16" borderId="0" xfId="1" applyFont="1" applyFill="1" applyBorder="1" applyAlignment="1" applyProtection="1"/>
    <xf numFmtId="43" fontId="29" fillId="16" borderId="0" xfId="1" applyFont="1" applyFill="1" applyBorder="1" applyAlignment="1" applyProtection="1">
      <alignment horizontal="left"/>
    </xf>
    <xf numFmtId="43" fontId="29" fillId="16" borderId="0" xfId="4" applyFont="1" applyFill="1" applyBorder="1" applyAlignment="1" applyProtection="1"/>
    <xf numFmtId="0" fontId="29" fillId="16" borderId="23" xfId="0" applyFont="1" applyFill="1" applyBorder="1" applyAlignment="1" applyProtection="1">
      <alignment vertical="center"/>
    </xf>
    <xf numFmtId="43" fontId="40" fillId="0" borderId="23" xfId="1" applyFont="1" applyFill="1" applyBorder="1" applyAlignment="1" applyProtection="1">
      <alignment horizontal="center" vertical="center" wrapText="1"/>
    </xf>
    <xf numFmtId="0" fontId="51" fillId="13" borderId="80" xfId="0" applyFont="1" applyFill="1" applyBorder="1" applyProtection="1"/>
    <xf numFmtId="0" fontId="51" fillId="13" borderId="68" xfId="0" applyFont="1" applyFill="1" applyBorder="1" applyProtection="1"/>
    <xf numFmtId="0" fontId="28" fillId="13" borderId="68" xfId="0" applyFont="1" applyFill="1" applyBorder="1" applyProtection="1"/>
    <xf numFmtId="43" fontId="28" fillId="13" borderId="68" xfId="3" applyFont="1" applyFill="1" applyBorder="1" applyProtection="1"/>
    <xf numFmtId="0" fontId="28" fillId="13" borderId="69" xfId="0" applyFont="1" applyFill="1" applyBorder="1" applyProtection="1"/>
    <xf numFmtId="0" fontId="26" fillId="0" borderId="0" xfId="0" applyFont="1"/>
    <xf numFmtId="44" fontId="30" fillId="19" borderId="23" xfId="8" applyFont="1" applyFill="1" applyBorder="1" applyAlignment="1" applyProtection="1">
      <alignment horizontal="center" vertical="center" wrapText="1"/>
    </xf>
    <xf numFmtId="43" fontId="52" fillId="22" borderId="23" xfId="1" applyFont="1" applyFill="1" applyBorder="1" applyAlignment="1" applyProtection="1">
      <alignment vertical="center"/>
    </xf>
    <xf numFmtId="43" fontId="30" fillId="22" borderId="23" xfId="1" applyFont="1" applyFill="1" applyBorder="1" applyAlignment="1" applyProtection="1">
      <alignment horizontal="right" vertical="center"/>
    </xf>
    <xf numFmtId="0" fontId="26" fillId="0" borderId="33" xfId="0" applyFont="1" applyBorder="1"/>
    <xf numFmtId="44" fontId="26" fillId="0" borderId="45" xfId="8" applyFont="1" applyFill="1" applyBorder="1" applyProtection="1">
      <protection locked="0"/>
    </xf>
    <xf numFmtId="0" fontId="0" fillId="0" borderId="0" xfId="0" applyProtection="1">
      <protection locked="0"/>
    </xf>
    <xf numFmtId="43" fontId="30" fillId="23" borderId="23" xfId="1" applyFont="1" applyFill="1" applyBorder="1" applyProtection="1">
      <protection locked="0"/>
    </xf>
    <xf numFmtId="44" fontId="30" fillId="23" borderId="23" xfId="8" applyNumberFormat="1" applyFont="1" applyFill="1" applyBorder="1" applyProtection="1">
      <protection locked="0"/>
    </xf>
    <xf numFmtId="44" fontId="30" fillId="23" borderId="23" xfId="8" applyFont="1" applyFill="1" applyBorder="1" applyAlignment="1" applyProtection="1">
      <protection locked="0"/>
    </xf>
    <xf numFmtId="0" fontId="53" fillId="2" borderId="1" xfId="0" applyFont="1" applyFill="1" applyBorder="1" applyAlignment="1" applyProtection="1">
      <alignment horizontal="center"/>
    </xf>
    <xf numFmtId="0" fontId="54" fillId="0" borderId="0" xfId="0" applyFont="1"/>
    <xf numFmtId="0" fontId="54" fillId="0" borderId="0" xfId="0" applyFont="1" applyProtection="1">
      <protection locked="0"/>
    </xf>
    <xf numFmtId="0" fontId="28" fillId="0" borderId="0" xfId="0" applyFont="1" applyProtection="1">
      <protection locked="0"/>
    </xf>
    <xf numFmtId="165" fontId="28" fillId="0" borderId="3" xfId="0" quotePrefix="1" applyNumberFormat="1" applyFont="1" applyBorder="1" applyAlignment="1" applyProtection="1">
      <alignment horizontal="center"/>
      <protection locked="0"/>
    </xf>
    <xf numFmtId="43" fontId="30" fillId="24" borderId="23" xfId="1" applyFont="1" applyFill="1" applyBorder="1" applyAlignment="1" applyProtection="1">
      <alignment horizontal="center" vertical="center" wrapText="1"/>
    </xf>
    <xf numFmtId="44" fontId="30" fillId="16" borderId="0" xfId="8" applyFont="1" applyFill="1" applyBorder="1" applyProtection="1"/>
    <xf numFmtId="44" fontId="56" fillId="16" borderId="49" xfId="8" applyFont="1" applyFill="1" applyBorder="1" applyProtection="1"/>
    <xf numFmtId="44" fontId="56" fillId="16" borderId="0" xfId="8" applyFont="1" applyFill="1" applyBorder="1" applyProtection="1"/>
    <xf numFmtId="9" fontId="30" fillId="16" borderId="33" xfId="15" applyFont="1" applyFill="1" applyBorder="1" applyAlignment="1" applyProtection="1">
      <alignment horizontal="center" vertical="center" wrapText="1"/>
    </xf>
    <xf numFmtId="9" fontId="29" fillId="16" borderId="33" xfId="15" applyFont="1" applyFill="1" applyBorder="1" applyAlignment="1" applyProtection="1">
      <alignment vertical="center"/>
    </xf>
    <xf numFmtId="9" fontId="30" fillId="16" borderId="33" xfId="15" applyFont="1" applyFill="1" applyBorder="1" applyAlignment="1" applyProtection="1">
      <alignment vertical="center"/>
    </xf>
    <xf numFmtId="9" fontId="30" fillId="16" borderId="33" xfId="15" applyFont="1" applyFill="1" applyBorder="1" applyAlignment="1" applyProtection="1">
      <alignment horizontal="right" vertical="center"/>
    </xf>
    <xf numFmtId="9" fontId="29" fillId="16" borderId="33" xfId="15" applyFont="1" applyFill="1" applyBorder="1" applyAlignment="1" applyProtection="1">
      <alignment horizontal="right" vertical="center"/>
    </xf>
    <xf numFmtId="9" fontId="30" fillId="22" borderId="33" xfId="15" applyFont="1" applyFill="1" applyBorder="1" applyAlignment="1" applyProtection="1">
      <alignment vertical="center"/>
    </xf>
    <xf numFmtId="43" fontId="30" fillId="19" borderId="33" xfId="1" applyFont="1" applyFill="1" applyBorder="1" applyProtection="1"/>
    <xf numFmtId="0" fontId="29" fillId="0" borderId="23" xfId="0" applyFont="1" applyFill="1" applyBorder="1" applyAlignment="1" applyProtection="1">
      <alignment wrapText="1"/>
      <protection locked="0"/>
    </xf>
    <xf numFmtId="0" fontId="29" fillId="0" borderId="23" xfId="0" applyFont="1" applyFill="1" applyBorder="1" applyAlignment="1" applyProtection="1">
      <alignment vertical="center" wrapText="1"/>
      <protection locked="0"/>
    </xf>
    <xf numFmtId="0" fontId="54" fillId="0" borderId="23" xfId="0" applyFont="1" applyBorder="1" applyProtection="1">
      <protection locked="0"/>
    </xf>
    <xf numFmtId="44" fontId="29" fillId="16" borderId="23" xfId="8" applyFont="1" applyFill="1" applyBorder="1" applyAlignment="1" applyProtection="1">
      <alignment vertical="center"/>
      <protection locked="0"/>
    </xf>
    <xf numFmtId="44" fontId="30" fillId="0" borderId="23" xfId="8" applyFont="1" applyFill="1" applyBorder="1" applyAlignment="1" applyProtection="1">
      <alignment vertical="center" wrapText="1"/>
      <protection locked="0"/>
    </xf>
    <xf numFmtId="44" fontId="30" fillId="0" borderId="23" xfId="11" applyFont="1" applyFill="1" applyBorder="1" applyAlignment="1" applyProtection="1">
      <alignment vertical="center" wrapText="1"/>
      <protection locked="0"/>
    </xf>
    <xf numFmtId="44" fontId="29" fillId="0" borderId="23" xfId="8" applyFont="1" applyFill="1" applyBorder="1" applyAlignment="1" applyProtection="1">
      <alignment vertical="center" wrapText="1"/>
      <protection locked="0"/>
    </xf>
    <xf numFmtId="0" fontId="30" fillId="0" borderId="23" xfId="0" applyFont="1" applyFill="1" applyBorder="1" applyAlignment="1" applyProtection="1">
      <alignment vertical="center" wrapText="1"/>
      <protection locked="0"/>
    </xf>
    <xf numFmtId="0" fontId="30" fillId="0" borderId="23" xfId="0" applyFont="1" applyFill="1" applyBorder="1" applyAlignment="1" applyProtection="1">
      <alignment wrapText="1"/>
      <protection locked="0"/>
    </xf>
    <xf numFmtId="0" fontId="4" fillId="16" borderId="33" xfId="0" applyFont="1" applyFill="1" applyBorder="1" applyAlignment="1" applyProtection="1">
      <alignment horizontal="left" vertical="center" wrapText="1" indent="2"/>
    </xf>
    <xf numFmtId="168" fontId="30" fillId="14" borderId="23" xfId="15" applyNumberFormat="1" applyFont="1" applyFill="1" applyBorder="1" applyProtection="1">
      <protection locked="0"/>
    </xf>
    <xf numFmtId="43" fontId="29" fillId="14" borderId="23" xfId="1" applyFont="1" applyFill="1" applyBorder="1" applyProtection="1">
      <protection locked="0"/>
    </xf>
    <xf numFmtId="43" fontId="30" fillId="16" borderId="23" xfId="0" applyNumberFormat="1" applyFont="1" applyFill="1" applyBorder="1" applyAlignment="1" applyProtection="1">
      <alignment horizontal="right" vertical="center"/>
    </xf>
    <xf numFmtId="165" fontId="30" fillId="16" borderId="23" xfId="1" applyNumberFormat="1" applyFont="1" applyFill="1" applyBorder="1" applyAlignment="1" applyProtection="1">
      <alignment horizontal="right" vertical="center"/>
    </xf>
    <xf numFmtId="165" fontId="29" fillId="0" borderId="23" xfId="1" applyNumberFormat="1" applyFont="1" applyFill="1" applyBorder="1" applyAlignment="1" applyProtection="1">
      <alignment vertical="center"/>
      <protection locked="0"/>
    </xf>
    <xf numFmtId="165" fontId="29" fillId="16" borderId="23" xfId="1" applyNumberFormat="1" applyFont="1" applyFill="1" applyBorder="1" applyAlignment="1" applyProtection="1">
      <alignment vertical="center"/>
      <protection locked="0"/>
    </xf>
    <xf numFmtId="165" fontId="29" fillId="0" borderId="23" xfId="1" applyNumberFormat="1" applyFont="1" applyFill="1" applyBorder="1" applyAlignment="1" applyProtection="1">
      <alignment horizontal="left" vertical="center"/>
      <protection locked="0"/>
    </xf>
    <xf numFmtId="165" fontId="29" fillId="16" borderId="23" xfId="1" applyNumberFormat="1" applyFont="1" applyFill="1" applyBorder="1" applyAlignment="1" applyProtection="1">
      <alignment vertical="center"/>
    </xf>
    <xf numFmtId="165" fontId="30" fillId="16" borderId="23" xfId="1" applyNumberFormat="1" applyFont="1" applyFill="1" applyBorder="1" applyAlignment="1" applyProtection="1">
      <alignment horizontal="center" vertical="center"/>
    </xf>
    <xf numFmtId="165" fontId="30" fillId="0" borderId="23" xfId="1" applyNumberFormat="1" applyFont="1" applyFill="1" applyBorder="1" applyAlignment="1" applyProtection="1">
      <alignment vertical="center"/>
      <protection locked="0"/>
    </xf>
    <xf numFmtId="165" fontId="30" fillId="0" borderId="23" xfId="1" applyNumberFormat="1" applyFont="1" applyFill="1" applyBorder="1" applyAlignment="1" applyProtection="1">
      <alignment horizontal="left" vertical="center"/>
      <protection locked="0"/>
    </xf>
    <xf numFmtId="165" fontId="30" fillId="16" borderId="23" xfId="1" applyNumberFormat="1" applyFont="1" applyFill="1" applyBorder="1" applyAlignment="1" applyProtection="1">
      <alignment horizontal="left" vertical="center"/>
    </xf>
    <xf numFmtId="165" fontId="30" fillId="16" borderId="23" xfId="1" applyNumberFormat="1" applyFont="1" applyFill="1" applyBorder="1" applyAlignment="1" applyProtection="1">
      <alignment vertical="center"/>
    </xf>
    <xf numFmtId="165" fontId="30" fillId="16" borderId="23" xfId="1" applyNumberFormat="1" applyFont="1" applyFill="1" applyBorder="1" applyAlignment="1" applyProtection="1">
      <alignment vertical="center"/>
      <protection locked="0"/>
    </xf>
    <xf numFmtId="165" fontId="35" fillId="0" borderId="23" xfId="1" applyNumberFormat="1" applyFont="1" applyFill="1" applyBorder="1" applyAlignment="1" applyProtection="1">
      <alignment vertical="center"/>
      <protection locked="0"/>
    </xf>
    <xf numFmtId="165" fontId="29" fillId="16" borderId="23" xfId="1" applyNumberFormat="1" applyFont="1" applyFill="1" applyBorder="1" applyAlignment="1" applyProtection="1">
      <alignment horizontal="right" vertical="center"/>
    </xf>
    <xf numFmtId="165" fontId="35" fillId="0" borderId="23" xfId="1" applyNumberFormat="1" applyFont="1" applyFill="1" applyBorder="1" applyAlignment="1" applyProtection="1">
      <alignment horizontal="right" vertical="center"/>
      <protection locked="0"/>
    </xf>
    <xf numFmtId="165" fontId="35" fillId="0" borderId="25" xfId="1" applyNumberFormat="1" applyFont="1" applyFill="1" applyBorder="1" applyAlignment="1" applyProtection="1">
      <alignment horizontal="right" vertical="center"/>
      <protection locked="0"/>
    </xf>
    <xf numFmtId="165" fontId="35" fillId="0" borderId="25" xfId="1" applyNumberFormat="1" applyFont="1" applyFill="1" applyBorder="1" applyAlignment="1" applyProtection="1">
      <alignment vertical="center"/>
      <protection locked="0"/>
    </xf>
    <xf numFmtId="165" fontId="35" fillId="16" borderId="25" xfId="1" applyNumberFormat="1" applyFont="1" applyFill="1" applyBorder="1" applyAlignment="1" applyProtection="1">
      <alignment vertical="center"/>
    </xf>
    <xf numFmtId="165" fontId="30" fillId="19" borderId="23" xfId="1" applyNumberFormat="1" applyFont="1" applyFill="1" applyBorder="1" applyProtection="1"/>
    <xf numFmtId="40" fontId="26" fillId="0" borderId="45" xfId="1" applyNumberFormat="1" applyFont="1" applyFill="1" applyBorder="1" applyProtection="1">
      <protection locked="0"/>
    </xf>
    <xf numFmtId="0" fontId="0" fillId="16" borderId="23" xfId="0" applyFill="1" applyBorder="1" applyAlignment="1" applyProtection="1">
      <alignment horizontal="left"/>
      <protection locked="0"/>
    </xf>
    <xf numFmtId="0" fontId="1" fillId="16" borderId="23" xfId="0" applyFont="1" applyFill="1" applyBorder="1" applyAlignment="1" applyProtection="1">
      <alignment horizontal="left"/>
      <protection locked="0"/>
    </xf>
    <xf numFmtId="0" fontId="30" fillId="0" borderId="0" xfId="0" applyFont="1" applyFill="1" applyBorder="1" applyAlignment="1" applyProtection="1">
      <alignment horizontal="center"/>
    </xf>
    <xf numFmtId="43" fontId="28" fillId="0" borderId="0" xfId="0" applyNumberFormat="1" applyFont="1" applyProtection="1">
      <protection locked="0"/>
    </xf>
    <xf numFmtId="0" fontId="34" fillId="5" borderId="54" xfId="0" applyFont="1" applyFill="1" applyBorder="1" applyAlignment="1" applyProtection="1">
      <alignment horizontal="center" wrapText="1"/>
    </xf>
    <xf numFmtId="0" fontId="28" fillId="24" borderId="0" xfId="0" quotePrefix="1" applyNumberFormat="1" applyFont="1" applyFill="1" applyBorder="1" applyAlignment="1" applyProtection="1">
      <alignment horizontal="center"/>
    </xf>
    <xf numFmtId="43" fontId="28" fillId="0" borderId="0" xfId="1" quotePrefix="1" applyFont="1" applyBorder="1" applyAlignment="1" applyProtection="1">
      <alignment horizontal="center"/>
      <protection locked="0"/>
    </xf>
    <xf numFmtId="43" fontId="28" fillId="24" borderId="0" xfId="1" applyFont="1" applyFill="1" applyBorder="1" applyProtection="1"/>
    <xf numFmtId="165" fontId="28" fillId="24" borderId="0" xfId="3" applyNumberFormat="1" applyFont="1" applyFill="1" applyBorder="1" applyProtection="1"/>
    <xf numFmtId="0" fontId="34" fillId="24" borderId="54" xfId="0" applyFont="1" applyFill="1" applyBorder="1" applyAlignment="1" applyProtection="1">
      <alignment horizontal="center" wrapText="1"/>
    </xf>
    <xf numFmtId="43" fontId="28" fillId="24" borderId="0" xfId="3" applyFont="1" applyFill="1" applyBorder="1" applyProtection="1"/>
    <xf numFmtId="0" fontId="28" fillId="25" borderId="0" xfId="0" applyFont="1" applyFill="1" applyBorder="1" applyProtection="1"/>
    <xf numFmtId="0" fontId="28" fillId="0" borderId="20" xfId="0" quotePrefix="1" applyNumberFormat="1" applyFont="1" applyBorder="1" applyAlignment="1" applyProtection="1">
      <alignment horizontal="center"/>
    </xf>
    <xf numFmtId="9" fontId="30" fillId="0" borderId="3" xfId="0" applyNumberFormat="1" applyFont="1" applyFill="1" applyBorder="1" applyAlignment="1" applyProtection="1">
      <alignment horizontal="left" vertical="top" wrapText="1"/>
      <protection locked="0"/>
    </xf>
    <xf numFmtId="9" fontId="30" fillId="16" borderId="23" xfId="15" quotePrefix="1" applyFont="1" applyFill="1" applyBorder="1" applyAlignment="1" applyProtection="1">
      <alignment horizontal="center" vertical="center" wrapText="1"/>
    </xf>
    <xf numFmtId="43" fontId="30" fillId="16" borderId="19" xfId="1" applyFont="1" applyFill="1" applyBorder="1" applyAlignment="1" applyProtection="1">
      <alignment wrapText="1"/>
    </xf>
    <xf numFmtId="0" fontId="0" fillId="0" borderId="20" xfId="0" applyBorder="1" applyAlignment="1" applyProtection="1"/>
    <xf numFmtId="165" fontId="29" fillId="16" borderId="54" xfId="1" applyNumberFormat="1" applyFont="1" applyFill="1" applyBorder="1" applyAlignment="1" applyProtection="1"/>
    <xf numFmtId="165" fontId="0" fillId="0" borderId="15" xfId="0" applyNumberFormat="1" applyBorder="1" applyAlignment="1" applyProtection="1"/>
    <xf numFmtId="165" fontId="29" fillId="16" borderId="46" xfId="1" applyNumberFormat="1" applyFont="1" applyFill="1" applyBorder="1" applyAlignment="1" applyProtection="1"/>
    <xf numFmtId="165" fontId="0" fillId="0" borderId="46" xfId="0" applyNumberFormat="1" applyBorder="1" applyAlignment="1" applyProtection="1"/>
    <xf numFmtId="165" fontId="29" fillId="16" borderId="20" xfId="4" applyNumberFormat="1" applyFont="1" applyFill="1" applyBorder="1" applyAlignment="1" applyProtection="1"/>
    <xf numFmtId="165" fontId="0" fillId="0" borderId="18" xfId="0" applyNumberFormat="1" applyBorder="1" applyAlignment="1" applyProtection="1"/>
    <xf numFmtId="0" fontId="39" fillId="0" borderId="64" xfId="0" applyFont="1" applyFill="1" applyBorder="1" applyAlignment="1" applyProtection="1">
      <alignment horizontal="center"/>
      <protection locked="0"/>
    </xf>
    <xf numFmtId="0" fontId="39" fillId="0" borderId="0" xfId="0" applyFont="1" applyFill="1" applyBorder="1" applyAlignment="1" applyProtection="1">
      <alignment horizontal="center"/>
      <protection locked="0"/>
    </xf>
    <xf numFmtId="0" fontId="30" fillId="0" borderId="64" xfId="0" applyFont="1" applyFill="1" applyBorder="1" applyAlignment="1" applyProtection="1">
      <alignment horizontal="center"/>
    </xf>
    <xf numFmtId="0" fontId="30" fillId="0" borderId="0" xfId="0" applyFont="1" applyFill="1" applyBorder="1" applyAlignment="1" applyProtection="1">
      <alignment horizontal="center"/>
    </xf>
    <xf numFmtId="43" fontId="29" fillId="16" borderId="40" xfId="1" applyFont="1" applyFill="1" applyBorder="1" applyAlignment="1" applyProtection="1">
      <alignment wrapText="1"/>
    </xf>
    <xf numFmtId="0" fontId="0" fillId="0" borderId="0" xfId="0" applyBorder="1" applyAlignment="1" applyProtection="1"/>
    <xf numFmtId="43" fontId="29" fillId="16" borderId="55" xfId="1" applyFont="1" applyFill="1" applyBorder="1" applyAlignment="1" applyProtection="1">
      <alignment wrapText="1"/>
    </xf>
    <xf numFmtId="0" fontId="0" fillId="0" borderId="54" xfId="0" applyBorder="1" applyAlignment="1" applyProtection="1">
      <alignment wrapText="1"/>
    </xf>
    <xf numFmtId="9" fontId="56" fillId="16" borderId="0" xfId="15" applyFont="1" applyFill="1" applyBorder="1" applyAlignment="1" applyProtection="1">
      <alignment horizontal="center"/>
    </xf>
    <xf numFmtId="0" fontId="12" fillId="0" borderId="55" xfId="0" applyFont="1" applyFill="1" applyBorder="1" applyAlignment="1">
      <alignment horizontal="center"/>
    </xf>
    <xf numFmtId="0" fontId="12" fillId="0" borderId="54" xfId="0" applyFont="1" applyFill="1" applyBorder="1" applyAlignment="1">
      <alignment horizontal="center"/>
    </xf>
    <xf numFmtId="0" fontId="12" fillId="0" borderId="15" xfId="0" applyFont="1" applyFill="1" applyBorder="1" applyAlignment="1">
      <alignment horizontal="center"/>
    </xf>
    <xf numFmtId="0" fontId="55" fillId="0" borderId="55" xfId="0" applyFont="1" applyBorder="1" applyAlignment="1">
      <alignment horizontal="center" wrapText="1"/>
    </xf>
    <xf numFmtId="0" fontId="55" fillId="0" borderId="15" xfId="0" applyFont="1" applyBorder="1" applyAlignment="1">
      <alignment horizontal="center" wrapText="1"/>
    </xf>
    <xf numFmtId="0" fontId="40" fillId="0" borderId="64" xfId="0" applyFont="1" applyFill="1" applyBorder="1" applyAlignment="1" applyProtection="1">
      <alignment horizontal="center"/>
      <protection locked="0"/>
    </xf>
    <xf numFmtId="0" fontId="40" fillId="0" borderId="0" xfId="0" applyFont="1" applyFill="1" applyBorder="1" applyAlignment="1" applyProtection="1">
      <alignment horizontal="center"/>
      <protection locked="0"/>
    </xf>
    <xf numFmtId="0" fontId="30" fillId="0" borderId="64" xfId="0" applyFont="1" applyFill="1" applyBorder="1" applyAlignment="1" applyProtection="1">
      <alignment horizontal="center"/>
      <protection locked="0"/>
    </xf>
    <xf numFmtId="0" fontId="30" fillId="0" borderId="0" xfId="0" applyFont="1" applyFill="1" applyBorder="1" applyAlignment="1" applyProtection="1">
      <alignment horizontal="center"/>
      <protection locked="0"/>
    </xf>
    <xf numFmtId="0" fontId="12" fillId="0" borderId="55" xfId="14" applyFont="1" applyBorder="1" applyAlignment="1">
      <alignment horizontal="center"/>
    </xf>
    <xf numFmtId="0" fontId="12" fillId="0" borderId="54" xfId="14" applyFont="1" applyBorder="1" applyAlignment="1">
      <alignment horizontal="center"/>
    </xf>
    <xf numFmtId="0" fontId="12" fillId="0" borderId="15" xfId="14" applyFont="1" applyBorder="1" applyAlignment="1">
      <alignment horizontal="center"/>
    </xf>
    <xf numFmtId="0" fontId="12" fillId="0" borderId="55" xfId="14" applyFont="1" applyBorder="1" applyAlignment="1">
      <alignment horizontal="center" wrapText="1"/>
    </xf>
    <xf numFmtId="0" fontId="12" fillId="0" borderId="15" xfId="14" applyFont="1" applyBorder="1" applyAlignment="1">
      <alignment horizontal="center" wrapText="1"/>
    </xf>
    <xf numFmtId="0" fontId="25" fillId="19" borderId="0" xfId="0" applyFont="1" applyFill="1" applyAlignment="1">
      <alignment horizontal="left" vertical="center" wrapText="1"/>
    </xf>
    <xf numFmtId="0" fontId="0" fillId="19" borderId="0" xfId="0" applyFill="1" applyAlignment="1">
      <alignment horizontal="left" vertical="center" wrapText="1"/>
    </xf>
  </cellXfs>
  <cellStyles count="24">
    <cellStyle name="Comma" xfId="1" builtinId="3"/>
    <cellStyle name="Comma 2" xfId="2" xr:uid="{00000000-0005-0000-0000-000001000000}"/>
    <cellStyle name="Comma 2 2" xfId="3" xr:uid="{00000000-0005-0000-0000-000002000000}"/>
    <cellStyle name="Comma 3" xfId="4" xr:uid="{00000000-0005-0000-0000-000003000000}"/>
    <cellStyle name="Comma 4" xfId="5" xr:uid="{00000000-0005-0000-0000-000004000000}"/>
    <cellStyle name="Comma 4 2" xfId="6" xr:uid="{00000000-0005-0000-0000-000005000000}"/>
    <cellStyle name="Comma 5" xfId="7" xr:uid="{00000000-0005-0000-0000-000006000000}"/>
    <cellStyle name="Currency" xfId="8" builtinId="4"/>
    <cellStyle name="Currency 2" xfId="9" xr:uid="{00000000-0005-0000-0000-000008000000}"/>
    <cellStyle name="Currency 2 2" xfId="10" xr:uid="{00000000-0005-0000-0000-000009000000}"/>
    <cellStyle name="Currency 3" xfId="11" xr:uid="{00000000-0005-0000-0000-00000A000000}"/>
    <cellStyle name="Currency 4" xfId="12" xr:uid="{00000000-0005-0000-0000-00000B000000}"/>
    <cellStyle name="Followed Hyperlink" xfId="23" builtinId="9" hidden="1"/>
    <cellStyle name="Hyperlink" xfId="22" builtinId="8" hidden="1"/>
    <cellStyle name="Normal" xfId="0" builtinId="0"/>
    <cellStyle name="Normal 2" xfId="13" xr:uid="{00000000-0005-0000-0000-00000F000000}"/>
    <cellStyle name="Normal 3" xfId="14" xr:uid="{00000000-0005-0000-0000-000010000000}"/>
    <cellStyle name="Percent" xfId="15" builtinId="5"/>
    <cellStyle name="Percent 2" xfId="16" xr:uid="{00000000-0005-0000-0000-000012000000}"/>
    <cellStyle name="Percent 2 2" xfId="17" xr:uid="{00000000-0005-0000-0000-000013000000}"/>
    <cellStyle name="Percent 3" xfId="18" xr:uid="{00000000-0005-0000-0000-000014000000}"/>
    <cellStyle name="Percent 4" xfId="19" xr:uid="{00000000-0005-0000-0000-000015000000}"/>
    <cellStyle name="Percent 5" xfId="20" xr:uid="{00000000-0005-0000-0000-000016000000}"/>
    <cellStyle name="Style 1" xfId="21" xr:uid="{00000000-0005-0000-0000-000017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gaskew/Local%20Settings/Temporary%20Internet%20Files/OLKDE/2009%20Budget%20Version%201%20L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33-Audits/2014%20Audit/IRM/Final%20MF%20Audited%20WHP%20IIB%202014%20Reconciliation8%2023%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33-Audits/2012%20audit%20-%20temporary/IRM/Reponse%20from%20firm/WHP%202B/response/MF%20Audited%20WHP%20IIB%20Reconciliation%202012%20-%202nd%20Respon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Assumptions &amp; Limitations"/>
      <sheetName val="Occupancy &amp; Turnover Projection"/>
      <sheetName val="Budget Title"/>
      <sheetName val="Consolidated Budget Title"/>
      <sheetName val="Budget by Account"/>
      <sheetName val="Con Monthly Budget Title"/>
      <sheetName val="Consolidated Monthly Budget"/>
      <sheetName val="Public Housing Budget Title"/>
      <sheetName val="Public Housing Monthly Budget"/>
      <sheetName val="Six-Flat Budget Title"/>
      <sheetName val="Six Flat Monthly Budget"/>
      <sheetName val="Summary"/>
      <sheetName val="Budget Detail Title"/>
      <sheetName val="Apartment Rent"/>
      <sheetName val="PH Apt Rent"/>
      <sheetName val="TC Apartment Rent"/>
      <sheetName val="Voucher Apt Rent"/>
      <sheetName val="Apartment Vacancy"/>
      <sheetName val="Public Housing Vacancy"/>
      <sheetName val="Apartment Rent Concessions"/>
      <sheetName val="CHA Apartment Rent Concess"/>
      <sheetName val="Rent Free Office"/>
      <sheetName val="Rent Free Manager"/>
      <sheetName val="Rent Free Operating Personnel"/>
      <sheetName val="CHA Operating Reimbursement"/>
      <sheetName val="CHA net Income Surplus"/>
      <sheetName val="Laundry Income"/>
      <sheetName val="Internet Access Fee"/>
      <sheetName val="Telephone Commissions"/>
      <sheetName val="TIF Reimbursement"/>
      <sheetName val="Vending Machine Income"/>
      <sheetName val="Returned Check"/>
      <sheetName val="Late Payment Fee"/>
      <sheetName val="Application Fee"/>
      <sheetName val="Short Term Lease Fee"/>
      <sheetName val="Lease Termination-Sublease Fee"/>
      <sheetName val="Forfeited Security Deposit"/>
      <sheetName val="Damages-Cleaning"/>
      <sheetName val="Key Fee"/>
      <sheetName val="Lock Out Fee"/>
      <sheetName val="Pet Fee"/>
      <sheetName val="Legal Fee Recovery"/>
      <sheetName val="Miscellaneous Income"/>
      <sheetName val="Security Deposit Interst Income"/>
      <sheetName val="Reserve Interest Income"/>
      <sheetName val="Office Payroll"/>
      <sheetName val="Engineer Payroll"/>
      <sheetName val="Janitorial Payroll"/>
      <sheetName val="Payroll Taxes"/>
      <sheetName val="Worker Compensation"/>
      <sheetName val="Employee Benefits"/>
      <sheetName val="Advertising and Marketing"/>
      <sheetName val="Occupancy Promotions"/>
      <sheetName val="Resident Retention"/>
      <sheetName val="Miscellaneous Renting Expenses"/>
      <sheetName val="Resident Referrals"/>
      <sheetName val="Credit Reporting Fees"/>
      <sheetName val="Office Supplies"/>
      <sheetName val="Postage and Messenger"/>
      <sheetName val="Answering Service"/>
      <sheetName val="Telephone"/>
      <sheetName val="Project Legal Fees"/>
      <sheetName val="CHA Legal Fees"/>
      <sheetName val="Auditing"/>
      <sheetName val="Auditing - CHA"/>
      <sheetName val="Professional Fees"/>
      <sheetName val="Professional Fees - CHA"/>
      <sheetName val="Bad Debts"/>
      <sheetName val="Bad Debts-CHA"/>
      <sheetName val="Office Equipment Rental"/>
      <sheetName val="Miscellaneous Administrative"/>
      <sheetName val="Bank Service Charge"/>
      <sheetName val="Employee Training"/>
      <sheetName val="Dues and Subscriptions"/>
      <sheetName val="Management Fee"/>
      <sheetName val="CHA Management Fee"/>
      <sheetName val="Electricity"/>
      <sheetName val="Electricty Vacant Units"/>
      <sheetName val="Water and Sewer"/>
      <sheetName val="Gas"/>
      <sheetName val="Gas Vacant Units"/>
      <sheetName val="Apartment Interior Painting"/>
      <sheetName val="Common Area Painting"/>
      <sheetName val="Cost to Ready Apt Interior"/>
      <sheetName val="Cost to Ready Apt Int - CHA"/>
      <sheetName val="Carpet Cleaning"/>
      <sheetName val="Carpet Cleaning-CHA"/>
      <sheetName val="Common Area Carpet Cleaning"/>
      <sheetName val="Exterminating"/>
      <sheetName val="Life Safety System Contract"/>
      <sheetName val="Landscaping Contract"/>
      <sheetName val="Elevator Maintenance"/>
      <sheetName val="Fire Prevention"/>
      <sheetName val="Rubbish Removal Service"/>
      <sheetName val="HVAC Service Contract"/>
      <sheetName val="Snow Removal"/>
      <sheetName val="Miscellaneous R &amp; M"/>
      <sheetName val="Janitorial Supplies"/>
      <sheetName val="Uniforms"/>
      <sheetName val="Appliance"/>
      <sheetName val="Appliance Contract"/>
      <sheetName val="Carpentry Contract"/>
      <sheetName val="Electrical Materials"/>
      <sheetName val="Elevator Contract R&amp;M"/>
      <sheetName val="Floors and Floor Tile"/>
      <sheetName val="Furn-Furnishing-Carpet"/>
      <sheetName val="Plumbing Sewer Contract"/>
      <sheetName val="Roof-Gutter Contract"/>
      <sheetName val="Windows-Glass Contract"/>
      <sheetName val="Shades &amp; Blinds Contract"/>
      <sheetName val="General Building"/>
      <sheetName val="Landscaping"/>
      <sheetName val="HVAC"/>
      <sheetName val="Miscellaneous R&amp;M"/>
      <sheetName val="Liscense &amp; Inspection Fees"/>
      <sheetName val="Network Administration"/>
      <sheetName val="Exercise Room Equipment"/>
      <sheetName val="Security Contract"/>
      <sheetName val="Real Estate Taxes"/>
      <sheetName val="Insurance"/>
      <sheetName val="Resident Damages-CHA"/>
      <sheetName val="Non-Rec Ext"/>
      <sheetName val="Mortgage Insurance"/>
      <sheetName val="Replacement Reserves"/>
      <sheetName val="Mortgage Principal"/>
      <sheetName val="Mortgage Interest"/>
      <sheetName val="Sec Dep Int Paid to Tenants"/>
      <sheetName val="Capital Expenses"/>
      <sheetName val="Ownership Entity Expense"/>
      <sheetName val="Budget Set Up"/>
      <sheetName val="Capital Notes"/>
      <sheetName val="Mid-Rise Monthly Budget"/>
      <sheetName val="Mid-Rise Budget Title"/>
      <sheetName val="@TASK237_05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row r="5">
          <cell r="K5" t="str">
            <v>Short Term Lease Fee</v>
          </cell>
        </row>
      </sheetData>
      <sheetData sheetId="36">
        <row r="5">
          <cell r="K5" t="str">
            <v>Lease Termination/Sublease Fee</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5">
          <cell r="K5" t="str">
            <v>Bad Debts-CHA</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4 AuditReconciliation"/>
      <sheetName val="2014 Budget"/>
      <sheetName val="FY2014 Questions-Comments"/>
      <sheetName val="2013 Budget"/>
      <sheetName val="2011ChartofAccounts"/>
    </sheetNames>
    <sheetDataSet>
      <sheetData sheetId="0"/>
      <sheetData sheetId="1">
        <row r="9">
          <cell r="A9">
            <v>3110001</v>
          </cell>
          <cell r="J9">
            <v>341298.22607999999</v>
          </cell>
        </row>
        <row r="10">
          <cell r="A10">
            <v>3690001.01</v>
          </cell>
          <cell r="J10">
            <v>0</v>
          </cell>
        </row>
        <row r="11">
          <cell r="A11">
            <v>3690001.02</v>
          </cell>
          <cell r="J11">
            <v>0</v>
          </cell>
        </row>
        <row r="12">
          <cell r="A12">
            <v>3110001.01</v>
          </cell>
          <cell r="J12">
            <v>0</v>
          </cell>
        </row>
        <row r="13">
          <cell r="A13">
            <v>3690001.04</v>
          </cell>
          <cell r="J13">
            <v>1650</v>
          </cell>
        </row>
        <row r="14">
          <cell r="A14">
            <v>3690001.05</v>
          </cell>
          <cell r="J14">
            <v>0</v>
          </cell>
        </row>
        <row r="15">
          <cell r="A15">
            <v>3690001.06</v>
          </cell>
          <cell r="J15">
            <v>0</v>
          </cell>
        </row>
        <row r="16">
          <cell r="A16">
            <v>3690001.07</v>
          </cell>
          <cell r="J16">
            <v>0</v>
          </cell>
        </row>
        <row r="17">
          <cell r="A17">
            <v>3690001.08</v>
          </cell>
          <cell r="J17">
            <v>276</v>
          </cell>
        </row>
        <row r="18">
          <cell r="A18">
            <v>3690001.09</v>
          </cell>
          <cell r="J18">
            <v>0</v>
          </cell>
        </row>
        <row r="19">
          <cell r="A19">
            <v>3690001.1</v>
          </cell>
          <cell r="J19">
            <v>0</v>
          </cell>
        </row>
        <row r="20">
          <cell r="A20" t="str">
            <v>Line 20</v>
          </cell>
          <cell r="J20">
            <v>343224.22607999999</v>
          </cell>
        </row>
        <row r="21">
          <cell r="J21">
            <v>343224</v>
          </cell>
        </row>
        <row r="22">
          <cell r="J22">
            <v>343224</v>
          </cell>
        </row>
        <row r="23">
          <cell r="A23">
            <v>4110001.01</v>
          </cell>
          <cell r="J23">
            <v>51170.350000000006</v>
          </cell>
        </row>
        <row r="24">
          <cell r="A24">
            <v>4110001.02</v>
          </cell>
          <cell r="J24">
            <v>18582.300000000003</v>
          </cell>
        </row>
        <row r="25">
          <cell r="A25">
            <v>4190001.01</v>
          </cell>
          <cell r="J25">
            <v>3575</v>
          </cell>
        </row>
        <row r="26">
          <cell r="A26">
            <v>4190011.02</v>
          </cell>
          <cell r="J26">
            <v>3575</v>
          </cell>
        </row>
        <row r="27">
          <cell r="A27">
            <v>4195001</v>
          </cell>
          <cell r="J27">
            <v>40110</v>
          </cell>
        </row>
        <row r="28">
          <cell r="A28">
            <v>4210001</v>
          </cell>
          <cell r="J28">
            <v>28575</v>
          </cell>
        </row>
        <row r="29">
          <cell r="A29">
            <v>4220001</v>
          </cell>
          <cell r="J29">
            <v>275</v>
          </cell>
        </row>
        <row r="30">
          <cell r="A30">
            <v>4190049.01</v>
          </cell>
          <cell r="J30">
            <v>828</v>
          </cell>
        </row>
        <row r="31">
          <cell r="A31">
            <v>4130004.01</v>
          </cell>
          <cell r="J31">
            <v>0</v>
          </cell>
        </row>
        <row r="32">
          <cell r="A32">
            <v>4130004.02</v>
          </cell>
          <cell r="J32">
            <v>14998.800000000001</v>
          </cell>
        </row>
        <row r="33">
          <cell r="A33">
            <v>4170001</v>
          </cell>
          <cell r="J33">
            <v>6325</v>
          </cell>
        </row>
        <row r="34">
          <cell r="A34">
            <v>4193001</v>
          </cell>
          <cell r="J34">
            <v>1925</v>
          </cell>
        </row>
        <row r="35">
          <cell r="A35">
            <v>4190014</v>
          </cell>
          <cell r="J35">
            <v>4334</v>
          </cell>
        </row>
        <row r="36">
          <cell r="A36">
            <v>4570001</v>
          </cell>
          <cell r="J36">
            <v>0</v>
          </cell>
        </row>
        <row r="37">
          <cell r="A37" t="str">
            <v>M</v>
          </cell>
          <cell r="J37">
            <v>0</v>
          </cell>
        </row>
        <row r="38">
          <cell r="A38">
            <v>4190008</v>
          </cell>
          <cell r="J38">
            <v>1650</v>
          </cell>
        </row>
        <row r="39">
          <cell r="A39">
            <v>4190051.02</v>
          </cell>
          <cell r="J39">
            <v>4190050</v>
          </cell>
        </row>
        <row r="40">
          <cell r="A40">
            <v>4190049.04</v>
          </cell>
          <cell r="J40">
            <v>1208</v>
          </cell>
        </row>
        <row r="41">
          <cell r="A41">
            <v>4150003</v>
          </cell>
          <cell r="J41">
            <v>1000</v>
          </cell>
        </row>
        <row r="42">
          <cell r="A42">
            <v>4140001</v>
          </cell>
          <cell r="J42">
            <v>1000</v>
          </cell>
        </row>
        <row r="43">
          <cell r="A43">
            <v>4190004</v>
          </cell>
          <cell r="J43">
            <v>4190004</v>
          </cell>
        </row>
        <row r="44">
          <cell r="A44">
            <v>4190030.01</v>
          </cell>
          <cell r="J44">
            <v>4190030</v>
          </cell>
        </row>
        <row r="45">
          <cell r="A45">
            <v>4230001</v>
          </cell>
          <cell r="J45">
            <v>0</v>
          </cell>
        </row>
        <row r="46">
          <cell r="A46">
            <v>4192001</v>
          </cell>
          <cell r="J46">
            <v>1751</v>
          </cell>
        </row>
        <row r="47">
          <cell r="A47">
            <v>4192002</v>
          </cell>
          <cell r="J47">
            <v>4192002</v>
          </cell>
        </row>
        <row r="48">
          <cell r="A48">
            <v>4190030.02</v>
          </cell>
          <cell r="J48">
            <v>4190030</v>
          </cell>
        </row>
        <row r="49">
          <cell r="A49">
            <v>4190049.02</v>
          </cell>
          <cell r="J49">
            <v>138</v>
          </cell>
        </row>
        <row r="50">
          <cell r="A50" t="str">
            <v>Line 49</v>
          </cell>
          <cell r="J50">
            <v>181020.45</v>
          </cell>
        </row>
        <row r="51">
          <cell r="J51">
            <v>181020.375</v>
          </cell>
        </row>
        <row r="52">
          <cell r="J52">
            <v>181020.375</v>
          </cell>
        </row>
        <row r="53">
          <cell r="A53">
            <v>4410024</v>
          </cell>
          <cell r="J53">
            <v>54506.650000000009</v>
          </cell>
        </row>
        <row r="54">
          <cell r="A54">
            <v>4420001.01</v>
          </cell>
          <cell r="J54">
            <v>4290</v>
          </cell>
        </row>
        <row r="55">
          <cell r="A55">
            <v>4420001.0199999996</v>
          </cell>
          <cell r="J55">
            <v>0</v>
          </cell>
        </row>
        <row r="56">
          <cell r="A56">
            <v>4430008</v>
          </cell>
          <cell r="J56">
            <v>0</v>
          </cell>
        </row>
        <row r="57">
          <cell r="A57">
            <v>4430013</v>
          </cell>
          <cell r="J57">
            <v>8925</v>
          </cell>
        </row>
        <row r="58">
          <cell r="A58">
            <v>4430003</v>
          </cell>
          <cell r="J58">
            <v>9016.98</v>
          </cell>
        </row>
        <row r="59">
          <cell r="A59">
            <v>4430022.01</v>
          </cell>
          <cell r="J59">
            <v>0</v>
          </cell>
        </row>
        <row r="60">
          <cell r="A60">
            <v>4430103</v>
          </cell>
          <cell r="J60">
            <v>0</v>
          </cell>
        </row>
        <row r="61">
          <cell r="A61">
            <v>4410029.01</v>
          </cell>
          <cell r="J61">
            <v>0</v>
          </cell>
        </row>
        <row r="62">
          <cell r="A62">
            <v>4430022.0199999996</v>
          </cell>
          <cell r="J62">
            <v>0</v>
          </cell>
        </row>
        <row r="63">
          <cell r="A63">
            <v>4430022.03</v>
          </cell>
          <cell r="J63">
            <v>0</v>
          </cell>
        </row>
        <row r="64">
          <cell r="J64">
            <v>2475</v>
          </cell>
        </row>
        <row r="65">
          <cell r="J65">
            <v>0</v>
          </cell>
        </row>
        <row r="66">
          <cell r="J66">
            <v>0</v>
          </cell>
        </row>
        <row r="67">
          <cell r="J67">
            <v>0</v>
          </cell>
        </row>
        <row r="68">
          <cell r="J68">
            <v>0</v>
          </cell>
        </row>
        <row r="69">
          <cell r="A69" t="str">
            <v>Line 68</v>
          </cell>
          <cell r="J69">
            <v>79213.63</v>
          </cell>
        </row>
        <row r="70">
          <cell r="J70">
            <v>79213.625</v>
          </cell>
        </row>
        <row r="71">
          <cell r="J71">
            <v>79213.625</v>
          </cell>
        </row>
        <row r="72">
          <cell r="A72">
            <v>4410065.0199999996</v>
          </cell>
          <cell r="J72">
            <v>0</v>
          </cell>
        </row>
        <row r="73">
          <cell r="A73">
            <v>4420001.03</v>
          </cell>
          <cell r="J73">
            <v>0</v>
          </cell>
        </row>
        <row r="74">
          <cell r="A74">
            <v>4420001.04</v>
          </cell>
          <cell r="J74">
            <v>0</v>
          </cell>
        </row>
        <row r="75">
          <cell r="A75">
            <v>4420013</v>
          </cell>
          <cell r="J75">
            <v>24505</v>
          </cell>
        </row>
        <row r="76">
          <cell r="A76">
            <v>4430022.04</v>
          </cell>
          <cell r="J76">
            <v>963</v>
          </cell>
        </row>
        <row r="77">
          <cell r="A77">
            <v>4430093</v>
          </cell>
          <cell r="J77">
            <v>1815</v>
          </cell>
        </row>
        <row r="78">
          <cell r="A78">
            <v>4430017</v>
          </cell>
          <cell r="J78">
            <v>2200</v>
          </cell>
        </row>
        <row r="79">
          <cell r="A79">
            <v>4430011.01</v>
          </cell>
          <cell r="J79">
            <v>0</v>
          </cell>
        </row>
        <row r="80">
          <cell r="A80">
            <v>4430011.0199999996</v>
          </cell>
          <cell r="J80">
            <v>9628</v>
          </cell>
        </row>
        <row r="81">
          <cell r="A81">
            <v>4420011</v>
          </cell>
          <cell r="J81">
            <v>5223</v>
          </cell>
        </row>
        <row r="82">
          <cell r="A82">
            <v>4430023.01</v>
          </cell>
          <cell r="J82">
            <v>2750</v>
          </cell>
        </row>
        <row r="83">
          <cell r="A83">
            <v>4430012</v>
          </cell>
          <cell r="J83">
            <v>17600</v>
          </cell>
        </row>
        <row r="84">
          <cell r="A84">
            <v>4420014</v>
          </cell>
          <cell r="J84">
            <v>2200</v>
          </cell>
        </row>
        <row r="85">
          <cell r="A85">
            <v>4430023.0199999996</v>
          </cell>
          <cell r="J85">
            <v>2255</v>
          </cell>
        </row>
        <row r="86">
          <cell r="A86">
            <v>4430092</v>
          </cell>
          <cell r="J86">
            <v>0</v>
          </cell>
        </row>
        <row r="87">
          <cell r="A87">
            <v>4430021</v>
          </cell>
          <cell r="J87">
            <v>413</v>
          </cell>
        </row>
        <row r="88">
          <cell r="A88">
            <v>4480001</v>
          </cell>
          <cell r="J88">
            <v>15730</v>
          </cell>
        </row>
        <row r="89">
          <cell r="A89">
            <v>4420012</v>
          </cell>
          <cell r="J89">
            <v>4420012</v>
          </cell>
        </row>
        <row r="90">
          <cell r="A90">
            <v>4430018</v>
          </cell>
          <cell r="J90">
            <v>2200</v>
          </cell>
        </row>
        <row r="91">
          <cell r="A91">
            <v>4420010</v>
          </cell>
          <cell r="J91">
            <v>0</v>
          </cell>
        </row>
        <row r="92">
          <cell r="A92">
            <v>4430022.05</v>
          </cell>
          <cell r="J92">
            <v>1109</v>
          </cell>
        </row>
        <row r="93">
          <cell r="A93">
            <v>4430001</v>
          </cell>
          <cell r="J93">
            <v>0</v>
          </cell>
        </row>
        <row r="94">
          <cell r="J94">
            <v>0</v>
          </cell>
        </row>
        <row r="95">
          <cell r="A95" t="str">
            <v>MC</v>
          </cell>
          <cell r="J95">
            <v>0</v>
          </cell>
        </row>
        <row r="96">
          <cell r="J96">
            <v>0</v>
          </cell>
        </row>
        <row r="97">
          <cell r="J97">
            <v>0</v>
          </cell>
        </row>
        <row r="98">
          <cell r="J98">
            <v>0</v>
          </cell>
        </row>
        <row r="99">
          <cell r="J99">
            <v>0</v>
          </cell>
        </row>
        <row r="100">
          <cell r="J100">
            <v>0</v>
          </cell>
        </row>
        <row r="101">
          <cell r="A101" t="str">
            <v>Line 100</v>
          </cell>
          <cell r="J101">
            <v>88591</v>
          </cell>
        </row>
        <row r="102">
          <cell r="J102">
            <v>88591</v>
          </cell>
        </row>
        <row r="103">
          <cell r="J103">
            <v>88591</v>
          </cell>
        </row>
        <row r="104">
          <cell r="A104">
            <v>4330001</v>
          </cell>
          <cell r="J104">
            <v>2475</v>
          </cell>
        </row>
        <row r="105">
          <cell r="A105">
            <v>4320001</v>
          </cell>
          <cell r="J105">
            <v>9625</v>
          </cell>
        </row>
        <row r="106">
          <cell r="A106">
            <v>4310001</v>
          </cell>
          <cell r="J106">
            <v>26593</v>
          </cell>
        </row>
        <row r="107">
          <cell r="J107">
            <v>0</v>
          </cell>
        </row>
        <row r="108">
          <cell r="J108">
            <v>0</v>
          </cell>
        </row>
        <row r="109">
          <cell r="J109">
            <v>0</v>
          </cell>
        </row>
        <row r="110">
          <cell r="J110">
            <v>0</v>
          </cell>
        </row>
        <row r="111">
          <cell r="J111">
            <v>0</v>
          </cell>
        </row>
        <row r="112">
          <cell r="J112">
            <v>0</v>
          </cell>
        </row>
        <row r="113">
          <cell r="J113">
            <v>0</v>
          </cell>
        </row>
        <row r="114">
          <cell r="J114">
            <v>0</v>
          </cell>
        </row>
        <row r="115">
          <cell r="J115">
            <v>0</v>
          </cell>
        </row>
        <row r="116">
          <cell r="A116" t="str">
            <v>Line 115</v>
          </cell>
          <cell r="J116">
            <v>38693</v>
          </cell>
        </row>
        <row r="117">
          <cell r="J117">
            <v>38693</v>
          </cell>
        </row>
        <row r="118">
          <cell r="J118">
            <v>38693</v>
          </cell>
        </row>
        <row r="119">
          <cell r="A119">
            <v>4520001</v>
          </cell>
          <cell r="J119">
            <v>0</v>
          </cell>
        </row>
        <row r="120">
          <cell r="A120">
            <v>4540004</v>
          </cell>
          <cell r="J120">
            <v>16353.2701</v>
          </cell>
        </row>
        <row r="121">
          <cell r="A121">
            <v>4510015</v>
          </cell>
          <cell r="J121">
            <v>26176</v>
          </cell>
        </row>
        <row r="122">
          <cell r="A122">
            <v>4540005</v>
          </cell>
          <cell r="J122">
            <v>20435.25</v>
          </cell>
        </row>
        <row r="123">
          <cell r="A123">
            <v>4540001</v>
          </cell>
          <cell r="J123">
            <v>4540000</v>
          </cell>
        </row>
        <row r="124">
          <cell r="A124">
            <v>4540101.01</v>
          </cell>
          <cell r="J124">
            <v>6219</v>
          </cell>
        </row>
        <row r="125">
          <cell r="A125">
            <v>4580001</v>
          </cell>
          <cell r="J125">
            <v>4580000</v>
          </cell>
        </row>
        <row r="126">
          <cell r="A126">
            <v>4580002</v>
          </cell>
          <cell r="J126">
            <v>0</v>
          </cell>
        </row>
        <row r="127">
          <cell r="A127">
            <v>4540003</v>
          </cell>
          <cell r="J127">
            <v>0</v>
          </cell>
        </row>
        <row r="128">
          <cell r="J128">
            <v>0</v>
          </cell>
        </row>
        <row r="129">
          <cell r="J129">
            <v>0</v>
          </cell>
        </row>
        <row r="130">
          <cell r="J130">
            <v>0</v>
          </cell>
        </row>
        <row r="131">
          <cell r="J131">
            <v>0</v>
          </cell>
        </row>
        <row r="132">
          <cell r="J132">
            <v>0</v>
          </cell>
        </row>
        <row r="133">
          <cell r="J133">
            <v>0</v>
          </cell>
        </row>
        <row r="134">
          <cell r="J134">
            <v>0</v>
          </cell>
        </row>
        <row r="135">
          <cell r="J135">
            <v>0</v>
          </cell>
        </row>
        <row r="136">
          <cell r="A136" t="str">
            <v>Line 135</v>
          </cell>
          <cell r="J136">
            <v>69183.520099999994</v>
          </cell>
        </row>
        <row r="137">
          <cell r="A137">
            <v>69183.5</v>
          </cell>
          <cell r="J137">
            <v>69183.5</v>
          </cell>
        </row>
        <row r="138">
          <cell r="A138" t="str">
            <v>Line 137</v>
          </cell>
          <cell r="J138">
            <v>456701.60010000004</v>
          </cell>
        </row>
        <row r="139">
          <cell r="A139">
            <v>456701.5</v>
          </cell>
          <cell r="J139">
            <v>456701.5</v>
          </cell>
        </row>
        <row r="140">
          <cell r="A140" t="str">
            <v>Line 139</v>
          </cell>
          <cell r="J140">
            <v>-113477.37402000005</v>
          </cell>
        </row>
        <row r="141">
          <cell r="J141">
            <v>-113477.3125</v>
          </cell>
        </row>
        <row r="142">
          <cell r="A142" t="str">
            <v>TRR</v>
          </cell>
          <cell r="J142">
            <v>138741</v>
          </cell>
        </row>
        <row r="143">
          <cell r="J143">
            <v>138741</v>
          </cell>
        </row>
        <row r="144">
          <cell r="A144" t="str">
            <v>EPU</v>
          </cell>
          <cell r="J144">
            <v>6524.3085728571432</v>
          </cell>
        </row>
        <row r="145">
          <cell r="J145">
            <v>6524.3046875</v>
          </cell>
        </row>
        <row r="146">
          <cell r="A146">
            <v>6524.3046875</v>
          </cell>
          <cell r="J146">
            <v>6524.3046875</v>
          </cell>
        </row>
        <row r="147">
          <cell r="A147" t="str">
            <v>RR</v>
          </cell>
          <cell r="J147">
            <v>21630</v>
          </cell>
        </row>
        <row r="148">
          <cell r="A148" t="str">
            <v>PDR</v>
          </cell>
          <cell r="J148">
            <v>0</v>
          </cell>
        </row>
        <row r="149">
          <cell r="A149" t="str">
            <v>TRF</v>
          </cell>
          <cell r="J149">
            <v>21630</v>
          </cell>
        </row>
        <row r="150">
          <cell r="A150">
            <v>21630</v>
          </cell>
          <cell r="J150">
            <v>21630</v>
          </cell>
        </row>
        <row r="151">
          <cell r="A151" t="str">
            <v>NOI</v>
          </cell>
          <cell r="J151">
            <v>-135107.37402000005</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2Questions-Comments"/>
      <sheetName val="2012 budget"/>
      <sheetName val="2011ChartofAccounts"/>
      <sheetName val="FY2012AuditReconciliation"/>
    </sheetNames>
    <sheetDataSet>
      <sheetData sheetId="0" refreshError="1"/>
      <sheetData sheetId="1">
        <row r="9">
          <cell r="A9">
            <v>3110001</v>
          </cell>
          <cell r="H9">
            <v>328043.016</v>
          </cell>
        </row>
        <row r="10">
          <cell r="A10">
            <v>3690001.01</v>
          </cell>
          <cell r="H10">
            <v>0</v>
          </cell>
        </row>
        <row r="11">
          <cell r="A11">
            <v>3690001.02</v>
          </cell>
          <cell r="H11">
            <v>0</v>
          </cell>
        </row>
        <row r="12">
          <cell r="A12">
            <v>3110001.01</v>
          </cell>
          <cell r="H12">
            <v>0</v>
          </cell>
        </row>
        <row r="13">
          <cell r="A13">
            <v>3690001.04</v>
          </cell>
          <cell r="H13">
            <v>1100</v>
          </cell>
        </row>
        <row r="14">
          <cell r="A14">
            <v>3690001.05</v>
          </cell>
          <cell r="H14">
            <v>0</v>
          </cell>
        </row>
        <row r="15">
          <cell r="A15">
            <v>3690001.06</v>
          </cell>
          <cell r="H15">
            <v>0</v>
          </cell>
        </row>
        <row r="16">
          <cell r="A16">
            <v>3690001.07</v>
          </cell>
          <cell r="H16">
            <v>0</v>
          </cell>
        </row>
        <row r="17">
          <cell r="A17">
            <v>3690001.08</v>
          </cell>
          <cell r="H17">
            <v>413</v>
          </cell>
        </row>
        <row r="18">
          <cell r="A18">
            <v>3690001.09</v>
          </cell>
          <cell r="H18">
            <v>0</v>
          </cell>
        </row>
        <row r="19">
          <cell r="A19">
            <v>3690001.1</v>
          </cell>
          <cell r="H19">
            <v>0</v>
          </cell>
        </row>
        <row r="20">
          <cell r="A20" t="str">
            <v>Line 20</v>
          </cell>
          <cell r="H20">
            <v>329556.016</v>
          </cell>
        </row>
        <row r="23">
          <cell r="A23">
            <v>4110001.01</v>
          </cell>
          <cell r="H23">
            <v>39321</v>
          </cell>
        </row>
        <row r="24">
          <cell r="A24">
            <v>4110001.02</v>
          </cell>
          <cell r="H24">
            <v>25168</v>
          </cell>
        </row>
        <row r="25">
          <cell r="A25">
            <v>4190001.01</v>
          </cell>
          <cell r="H25">
            <v>3375</v>
          </cell>
        </row>
        <row r="26">
          <cell r="A26">
            <v>4190011.02</v>
          </cell>
          <cell r="H26">
            <v>2498</v>
          </cell>
        </row>
        <row r="27">
          <cell r="A27">
            <v>4195001</v>
          </cell>
          <cell r="H27">
            <v>52807</v>
          </cell>
        </row>
        <row r="28">
          <cell r="A28">
            <v>4210001</v>
          </cell>
          <cell r="H28">
            <v>11306</v>
          </cell>
        </row>
        <row r="29">
          <cell r="A29">
            <v>4220001</v>
          </cell>
          <cell r="H29">
            <v>125</v>
          </cell>
        </row>
        <row r="30">
          <cell r="A30">
            <v>4190049.01</v>
          </cell>
          <cell r="H30">
            <v>560</v>
          </cell>
        </row>
        <row r="31">
          <cell r="A31">
            <v>4130004.01</v>
          </cell>
          <cell r="H31">
            <v>0</v>
          </cell>
        </row>
        <row r="32">
          <cell r="A32">
            <v>4130004.02</v>
          </cell>
          <cell r="H32">
            <v>16500</v>
          </cell>
        </row>
        <row r="33">
          <cell r="A33">
            <v>4170001</v>
          </cell>
          <cell r="H33">
            <v>6050</v>
          </cell>
        </row>
        <row r="34">
          <cell r="A34">
            <v>4193001</v>
          </cell>
          <cell r="H34">
            <v>1387</v>
          </cell>
        </row>
        <row r="35">
          <cell r="A35">
            <v>4190014</v>
          </cell>
          <cell r="H35">
            <v>3956</v>
          </cell>
        </row>
        <row r="36">
          <cell r="A36">
            <v>4570001</v>
          </cell>
          <cell r="H36">
            <v>0</v>
          </cell>
        </row>
        <row r="37">
          <cell r="A37" t="str">
            <v>M</v>
          </cell>
          <cell r="H37">
            <v>0</v>
          </cell>
        </row>
        <row r="38">
          <cell r="A38">
            <v>4190008</v>
          </cell>
          <cell r="H38">
            <v>1218</v>
          </cell>
        </row>
        <row r="39">
          <cell r="A39">
            <v>4190051.02</v>
          </cell>
        </row>
        <row r="40">
          <cell r="A40">
            <v>4190049.04</v>
          </cell>
          <cell r="H40">
            <v>825</v>
          </cell>
        </row>
        <row r="41">
          <cell r="A41">
            <v>4150003</v>
          </cell>
          <cell r="H41">
            <v>1000</v>
          </cell>
        </row>
        <row r="42">
          <cell r="A42">
            <v>4140001</v>
          </cell>
          <cell r="H42">
            <v>1000</v>
          </cell>
        </row>
        <row r="43">
          <cell r="A43">
            <v>4190004</v>
          </cell>
        </row>
        <row r="44">
          <cell r="A44">
            <v>4190030.01</v>
          </cell>
        </row>
        <row r="45">
          <cell r="A45">
            <v>4230001</v>
          </cell>
          <cell r="H45">
            <v>0</v>
          </cell>
        </row>
        <row r="46">
          <cell r="A46">
            <v>4192001</v>
          </cell>
          <cell r="H46">
            <v>1150</v>
          </cell>
        </row>
        <row r="47">
          <cell r="A47">
            <v>4192002</v>
          </cell>
        </row>
        <row r="48">
          <cell r="A48">
            <v>4190030.02</v>
          </cell>
        </row>
        <row r="49">
          <cell r="A49">
            <v>4190049.02</v>
          </cell>
          <cell r="H49">
            <v>138</v>
          </cell>
        </row>
        <row r="50">
          <cell r="A50" t="str">
            <v>Line 49</v>
          </cell>
          <cell r="H50">
            <v>168384</v>
          </cell>
        </row>
        <row r="53">
          <cell r="A53">
            <v>4410024</v>
          </cell>
          <cell r="H53">
            <v>56586</v>
          </cell>
        </row>
        <row r="54">
          <cell r="A54">
            <v>4420001.01</v>
          </cell>
          <cell r="H54">
            <v>2710</v>
          </cell>
        </row>
        <row r="55">
          <cell r="A55">
            <v>4420001.0199999996</v>
          </cell>
          <cell r="H55">
            <v>0</v>
          </cell>
        </row>
        <row r="56">
          <cell r="A56">
            <v>4430008</v>
          </cell>
          <cell r="H56">
            <v>0</v>
          </cell>
        </row>
        <row r="57">
          <cell r="A57">
            <v>4430013</v>
          </cell>
          <cell r="H57">
            <v>4675</v>
          </cell>
        </row>
        <row r="58">
          <cell r="A58">
            <v>4430003</v>
          </cell>
          <cell r="H58">
            <v>10279</v>
          </cell>
        </row>
        <row r="59">
          <cell r="A59">
            <v>4430022.01</v>
          </cell>
          <cell r="H59">
            <v>0</v>
          </cell>
        </row>
        <row r="60">
          <cell r="A60">
            <v>4430103</v>
          </cell>
          <cell r="H60">
            <v>0</v>
          </cell>
        </row>
        <row r="61">
          <cell r="A61">
            <v>4410029.01</v>
          </cell>
          <cell r="H61">
            <v>0</v>
          </cell>
        </row>
        <row r="62">
          <cell r="A62">
            <v>4430022.0199999996</v>
          </cell>
          <cell r="H62">
            <v>0</v>
          </cell>
        </row>
        <row r="63">
          <cell r="A63">
            <v>4430022.03</v>
          </cell>
          <cell r="H63">
            <v>0</v>
          </cell>
        </row>
        <row r="64">
          <cell r="H64">
            <v>0</v>
          </cell>
        </row>
        <row r="65">
          <cell r="H65">
            <v>0</v>
          </cell>
        </row>
        <row r="66">
          <cell r="H66">
            <v>0</v>
          </cell>
        </row>
        <row r="67">
          <cell r="H67">
            <v>0</v>
          </cell>
        </row>
        <row r="68">
          <cell r="H68">
            <v>0</v>
          </cell>
        </row>
        <row r="69">
          <cell r="A69" t="str">
            <v>Line 68</v>
          </cell>
          <cell r="H69">
            <v>74250</v>
          </cell>
        </row>
        <row r="72">
          <cell r="A72">
            <v>4410065.0199999996</v>
          </cell>
          <cell r="H72">
            <v>0</v>
          </cell>
        </row>
        <row r="73">
          <cell r="A73">
            <v>4420001.03</v>
          </cell>
          <cell r="H73">
            <v>0</v>
          </cell>
        </row>
        <row r="74">
          <cell r="A74">
            <v>4420001.04</v>
          </cell>
          <cell r="H74">
            <v>0</v>
          </cell>
        </row>
        <row r="75">
          <cell r="A75">
            <v>4420013</v>
          </cell>
          <cell r="H75">
            <v>10000</v>
          </cell>
        </row>
        <row r="76">
          <cell r="A76">
            <v>4430022.04</v>
          </cell>
          <cell r="H76">
            <v>1730</v>
          </cell>
        </row>
        <row r="77">
          <cell r="A77">
            <v>4430093</v>
          </cell>
          <cell r="H77">
            <v>0</v>
          </cell>
        </row>
        <row r="78">
          <cell r="A78">
            <v>4430017</v>
          </cell>
          <cell r="H78">
            <v>925</v>
          </cell>
        </row>
        <row r="79">
          <cell r="A79">
            <v>4430011.01</v>
          </cell>
          <cell r="H79">
            <v>0</v>
          </cell>
        </row>
        <row r="80">
          <cell r="A80">
            <v>4430011.0199999996</v>
          </cell>
          <cell r="H80">
            <v>8900</v>
          </cell>
        </row>
        <row r="81">
          <cell r="A81">
            <v>4420011</v>
          </cell>
          <cell r="H81">
            <v>2500</v>
          </cell>
        </row>
        <row r="82">
          <cell r="A82">
            <v>4430023.01</v>
          </cell>
          <cell r="H82">
            <v>0</v>
          </cell>
        </row>
        <row r="83">
          <cell r="A83">
            <v>4430012</v>
          </cell>
          <cell r="H83">
            <v>26400</v>
          </cell>
        </row>
        <row r="84">
          <cell r="A84">
            <v>4420014</v>
          </cell>
          <cell r="H84">
            <v>1210</v>
          </cell>
        </row>
        <row r="85">
          <cell r="A85">
            <v>4430023.0199999996</v>
          </cell>
          <cell r="H85">
            <v>2475</v>
          </cell>
        </row>
        <row r="86">
          <cell r="A86">
            <v>4430092</v>
          </cell>
          <cell r="H86">
            <v>0</v>
          </cell>
        </row>
        <row r="87">
          <cell r="A87">
            <v>4430021</v>
          </cell>
          <cell r="H87">
            <v>280</v>
          </cell>
        </row>
        <row r="88">
          <cell r="A88">
            <v>4480001</v>
          </cell>
          <cell r="H88">
            <v>18700</v>
          </cell>
        </row>
        <row r="89">
          <cell r="A89">
            <v>4420012</v>
          </cell>
        </row>
        <row r="90">
          <cell r="A90">
            <v>4430018</v>
          </cell>
          <cell r="H90">
            <v>1925</v>
          </cell>
        </row>
        <row r="91">
          <cell r="A91">
            <v>4420010</v>
          </cell>
          <cell r="H91">
            <v>0</v>
          </cell>
        </row>
        <row r="92">
          <cell r="A92">
            <v>4430022.05</v>
          </cell>
          <cell r="H92">
            <v>1325</v>
          </cell>
        </row>
        <row r="93">
          <cell r="A93">
            <v>4430001</v>
          </cell>
          <cell r="H93">
            <v>0</v>
          </cell>
        </row>
        <row r="94">
          <cell r="H94">
            <v>0</v>
          </cell>
        </row>
        <row r="95">
          <cell r="A95" t="str">
            <v>MC</v>
          </cell>
          <cell r="H95">
            <v>0</v>
          </cell>
        </row>
        <row r="96">
          <cell r="H96">
            <v>0</v>
          </cell>
        </row>
        <row r="97">
          <cell r="H97">
            <v>0</v>
          </cell>
        </row>
        <row r="98">
          <cell r="H98">
            <v>0</v>
          </cell>
        </row>
        <row r="99">
          <cell r="H99">
            <v>0</v>
          </cell>
        </row>
        <row r="100">
          <cell r="H100">
            <v>0</v>
          </cell>
        </row>
        <row r="101">
          <cell r="A101" t="str">
            <v>Line 100</v>
          </cell>
          <cell r="H101">
            <v>76370</v>
          </cell>
        </row>
        <row r="104">
          <cell r="A104">
            <v>4330001</v>
          </cell>
          <cell r="H104">
            <v>3025</v>
          </cell>
        </row>
        <row r="105">
          <cell r="A105">
            <v>4320001</v>
          </cell>
          <cell r="H105">
            <v>12295</v>
          </cell>
        </row>
        <row r="106">
          <cell r="A106">
            <v>4310001</v>
          </cell>
          <cell r="H106">
            <v>19755</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A116" t="str">
            <v>Line 115</v>
          </cell>
          <cell r="H116">
            <v>35075</v>
          </cell>
        </row>
        <row r="119">
          <cell r="A119">
            <v>4520001</v>
          </cell>
          <cell r="H119">
            <v>0</v>
          </cell>
        </row>
        <row r="120">
          <cell r="A120">
            <v>4540004</v>
          </cell>
          <cell r="H120">
            <v>13042</v>
          </cell>
        </row>
        <row r="121">
          <cell r="A121">
            <v>4510015</v>
          </cell>
          <cell r="H121">
            <v>23786</v>
          </cell>
        </row>
        <row r="122">
          <cell r="A122">
            <v>4540005</v>
          </cell>
          <cell r="H122">
            <v>6357</v>
          </cell>
        </row>
        <row r="123">
          <cell r="A123">
            <v>4540001</v>
          </cell>
        </row>
        <row r="124">
          <cell r="A124">
            <v>4540101.01</v>
          </cell>
          <cell r="H124">
            <v>2119</v>
          </cell>
        </row>
        <row r="125">
          <cell r="A125">
            <v>4580001</v>
          </cell>
        </row>
        <row r="126">
          <cell r="A126">
            <v>4580002</v>
          </cell>
          <cell r="H126">
            <v>0</v>
          </cell>
        </row>
        <row r="127">
          <cell r="A127">
            <v>4540003</v>
          </cell>
          <cell r="H127">
            <v>0</v>
          </cell>
        </row>
        <row r="128">
          <cell r="H128">
            <v>0</v>
          </cell>
        </row>
        <row r="136">
          <cell r="A136" t="str">
            <v>Line 135</v>
          </cell>
        </row>
        <row r="138">
          <cell r="A138" t="str">
            <v>Line 137</v>
          </cell>
        </row>
        <row r="140">
          <cell r="A140" t="str">
            <v>Line 139</v>
          </cell>
        </row>
        <row r="142">
          <cell r="A142" t="str">
            <v>TRR</v>
          </cell>
        </row>
        <row r="144">
          <cell r="A144" t="str">
            <v>EPU</v>
          </cell>
        </row>
        <row r="147">
          <cell r="A147" t="str">
            <v>RR</v>
          </cell>
        </row>
        <row r="148">
          <cell r="A148" t="str">
            <v>PDR</v>
          </cell>
        </row>
        <row r="149">
          <cell r="A149" t="str">
            <v>TRF</v>
          </cell>
        </row>
        <row r="151">
          <cell r="A151" t="str">
            <v>NOI</v>
          </cell>
        </row>
      </sheetData>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AH723"/>
  <sheetViews>
    <sheetView tabSelected="1" topLeftCell="C6" zoomScale="90" zoomScaleNormal="90" zoomScaleSheetLayoutView="80" zoomScalePageLayoutView="90" workbookViewId="0">
      <selection activeCell="C1" sqref="C1:P1"/>
    </sheetView>
  </sheetViews>
  <sheetFormatPr defaultColWidth="8.85546875" defaultRowHeight="15.75" x14ac:dyDescent="0.25"/>
  <cols>
    <col min="1" max="2" width="25.42578125" style="487" hidden="1" customWidth="1"/>
    <col min="3" max="3" width="38.140625" style="162" customWidth="1"/>
    <col min="4" max="4" width="14.42578125" style="220" hidden="1" customWidth="1"/>
    <col min="5" max="6" width="14.42578125" style="220" customWidth="1"/>
    <col min="7" max="7" width="17.42578125" style="221" customWidth="1"/>
    <col min="8" max="8" width="15.42578125" style="220" customWidth="1"/>
    <col min="9" max="11" width="13.7109375" style="220" bestFit="1" customWidth="1"/>
    <col min="12" max="12" width="15.28515625" style="222" customWidth="1"/>
    <col min="13" max="13" width="13.28515625" style="105" customWidth="1"/>
    <col min="14" max="14" width="15.85546875" style="493" customWidth="1"/>
    <col min="15" max="15" width="14.28515625" style="105" customWidth="1"/>
    <col min="16" max="16" width="12.7109375" style="135" customWidth="1"/>
    <col min="17" max="18" width="38.85546875" style="393" customWidth="1"/>
    <col min="19" max="19" width="14" style="204" customWidth="1"/>
    <col min="20" max="16384" width="8.85546875" style="131"/>
  </cols>
  <sheetData>
    <row r="1" spans="1:34" x14ac:dyDescent="0.25">
      <c r="A1" s="486"/>
      <c r="B1" s="486"/>
      <c r="C1" s="871" t="s">
        <v>664</v>
      </c>
      <c r="D1" s="872"/>
      <c r="E1" s="872"/>
      <c r="F1" s="872"/>
      <c r="G1" s="872"/>
      <c r="H1" s="872"/>
      <c r="I1" s="872"/>
      <c r="J1" s="872"/>
      <c r="K1" s="872"/>
      <c r="L1" s="872"/>
      <c r="M1" s="872"/>
      <c r="N1" s="872"/>
      <c r="O1" s="872"/>
      <c r="P1" s="872"/>
      <c r="Q1" s="391"/>
      <c r="R1" s="391"/>
      <c r="S1" s="131"/>
    </row>
    <row r="2" spans="1:34" x14ac:dyDescent="0.25">
      <c r="C2" s="873" t="s">
        <v>739</v>
      </c>
      <c r="D2" s="874"/>
      <c r="E2" s="874"/>
      <c r="F2" s="874"/>
      <c r="G2" s="874"/>
      <c r="H2" s="874"/>
      <c r="I2" s="874"/>
      <c r="J2" s="874"/>
      <c r="K2" s="874"/>
      <c r="L2" s="874"/>
      <c r="M2" s="874"/>
      <c r="N2" s="874"/>
      <c r="O2" s="874"/>
      <c r="P2" s="874"/>
      <c r="Q2" s="391"/>
      <c r="R2" s="391"/>
      <c r="S2" s="131"/>
    </row>
    <row r="3" spans="1:34" x14ac:dyDescent="0.25">
      <c r="A3" s="486"/>
      <c r="B3" s="486"/>
      <c r="C3" s="871" t="s">
        <v>650</v>
      </c>
      <c r="D3" s="872"/>
      <c r="E3" s="872"/>
      <c r="F3" s="872"/>
      <c r="G3" s="872"/>
      <c r="H3" s="872"/>
      <c r="I3" s="872"/>
      <c r="J3" s="872"/>
      <c r="K3" s="872"/>
      <c r="L3" s="872"/>
      <c r="M3" s="872"/>
      <c r="N3" s="872"/>
      <c r="O3" s="872"/>
      <c r="P3" s="872"/>
      <c r="Q3" s="485"/>
      <c r="R3" s="850"/>
      <c r="S3" s="485"/>
      <c r="T3" s="485"/>
      <c r="U3" s="485"/>
      <c r="V3" s="485"/>
      <c r="W3" s="485"/>
      <c r="X3" s="485"/>
      <c r="Y3" s="485"/>
      <c r="Z3" s="485"/>
      <c r="AA3" s="485"/>
      <c r="AB3" s="485"/>
      <c r="AC3" s="485"/>
      <c r="AD3" s="485"/>
      <c r="AE3" s="485"/>
      <c r="AF3" s="485"/>
      <c r="AG3" s="485"/>
      <c r="AH3" s="485"/>
    </row>
    <row r="4" spans="1:34" x14ac:dyDescent="0.25">
      <c r="C4" s="615" t="s">
        <v>78</v>
      </c>
      <c r="D4" s="797">
        <v>81</v>
      </c>
      <c r="E4" s="797">
        <v>81</v>
      </c>
      <c r="F4" s="797">
        <v>81</v>
      </c>
      <c r="G4" s="797">
        <v>81</v>
      </c>
      <c r="H4" s="827"/>
      <c r="I4" s="143"/>
      <c r="J4" s="143"/>
      <c r="K4" s="143"/>
      <c r="L4" s="640"/>
      <c r="M4" s="143"/>
      <c r="N4" s="206"/>
      <c r="O4" s="143"/>
      <c r="P4" s="156"/>
      <c r="Q4" s="816"/>
      <c r="R4" s="816"/>
      <c r="S4" s="131"/>
    </row>
    <row r="5" spans="1:34" x14ac:dyDescent="0.25">
      <c r="C5" s="615" t="s">
        <v>54</v>
      </c>
      <c r="D5" s="797">
        <v>16</v>
      </c>
      <c r="E5" s="797">
        <v>16</v>
      </c>
      <c r="F5" s="797">
        <v>16</v>
      </c>
      <c r="G5" s="797">
        <v>16</v>
      </c>
      <c r="H5" s="50"/>
      <c r="I5" s="143"/>
      <c r="J5" s="143"/>
      <c r="K5" s="143"/>
      <c r="L5" s="143"/>
      <c r="M5" s="143"/>
      <c r="N5" s="206"/>
      <c r="O5" s="143"/>
      <c r="P5" s="156"/>
      <c r="Q5" s="816"/>
      <c r="R5" s="816"/>
      <c r="S5" s="131"/>
    </row>
    <row r="6" spans="1:34" x14ac:dyDescent="0.25">
      <c r="A6" s="487" t="s">
        <v>547</v>
      </c>
      <c r="C6" s="615" t="s">
        <v>56</v>
      </c>
      <c r="D6" s="799">
        <v>531.44000000000005</v>
      </c>
      <c r="E6" s="798">
        <v>540.47</v>
      </c>
      <c r="F6" s="798">
        <v>549.12</v>
      </c>
      <c r="G6" s="798">
        <v>554.61</v>
      </c>
      <c r="H6" s="826">
        <v>0.01</v>
      </c>
      <c r="I6" s="143"/>
      <c r="J6" s="143"/>
      <c r="K6" s="143"/>
      <c r="L6" s="143"/>
      <c r="M6" s="143"/>
      <c r="N6" s="206"/>
      <c r="O6" s="143"/>
      <c r="P6" s="156"/>
      <c r="Q6" s="816"/>
      <c r="R6" s="816"/>
      <c r="S6" s="131"/>
    </row>
    <row r="7" spans="1:34" s="497" customFormat="1" ht="78.75" x14ac:dyDescent="0.2">
      <c r="A7" s="496"/>
      <c r="B7" s="496"/>
      <c r="C7" s="783"/>
      <c r="D7" s="616" t="s">
        <v>645</v>
      </c>
      <c r="E7" s="616" t="s">
        <v>740</v>
      </c>
      <c r="F7" s="616" t="s">
        <v>741</v>
      </c>
      <c r="G7" s="805" t="s">
        <v>742</v>
      </c>
      <c r="H7" s="862" t="s">
        <v>665</v>
      </c>
      <c r="I7" s="616" t="s">
        <v>559</v>
      </c>
      <c r="J7" s="616" t="s">
        <v>80</v>
      </c>
      <c r="K7" s="616" t="s">
        <v>81</v>
      </c>
      <c r="L7" s="616" t="s">
        <v>82</v>
      </c>
      <c r="M7" s="616" t="s">
        <v>141</v>
      </c>
      <c r="N7" s="784" t="s">
        <v>142</v>
      </c>
      <c r="O7" s="616" t="s">
        <v>143</v>
      </c>
      <c r="P7" s="809" t="s">
        <v>144</v>
      </c>
      <c r="Q7" s="791" t="s">
        <v>643</v>
      </c>
      <c r="R7" s="791" t="s">
        <v>642</v>
      </c>
    </row>
    <row r="8" spans="1:34" s="497" customFormat="1" x14ac:dyDescent="0.2">
      <c r="A8" s="496"/>
      <c r="B8" s="496"/>
      <c r="C8" s="641"/>
      <c r="D8" s="830" t="s">
        <v>346</v>
      </c>
      <c r="E8" s="830" t="s">
        <v>346</v>
      </c>
      <c r="F8" s="830" t="s">
        <v>346</v>
      </c>
      <c r="G8" s="831" t="s">
        <v>346</v>
      </c>
      <c r="H8" s="519"/>
      <c r="I8" s="498"/>
      <c r="J8" s="498"/>
      <c r="K8" s="498"/>
      <c r="L8" s="498"/>
      <c r="M8" s="501"/>
      <c r="N8" s="499"/>
      <c r="O8" s="501"/>
      <c r="P8" s="810"/>
      <c r="Q8" s="817"/>
      <c r="R8" s="817"/>
    </row>
    <row r="9" spans="1:34" s="502" customFormat="1" x14ac:dyDescent="0.2">
      <c r="A9" s="500">
        <v>3110001</v>
      </c>
      <c r="B9" s="496"/>
      <c r="C9" s="642" t="s">
        <v>77</v>
      </c>
      <c r="D9" s="832">
        <v>95202</v>
      </c>
      <c r="E9" s="832">
        <f>95122-8707</f>
        <v>86415</v>
      </c>
      <c r="F9" s="832">
        <v>109996.45440000002</v>
      </c>
      <c r="G9" s="833">
        <f>SUM(G6*G5*12)</f>
        <v>106485.12</v>
      </c>
      <c r="H9" s="607">
        <f t="shared" ref="H9:H13" si="0">IF(G9=0,"",IF(E9=0,100%,(G9-E9)/E9))</f>
        <v>0.23225273390036447</v>
      </c>
      <c r="I9" s="833">
        <f t="shared" ref="I9:L9" si="1">+$G9/4</f>
        <v>26621.279999999999</v>
      </c>
      <c r="J9" s="833">
        <f t="shared" si="1"/>
        <v>26621.279999999999</v>
      </c>
      <c r="K9" s="833">
        <f t="shared" si="1"/>
        <v>26621.279999999999</v>
      </c>
      <c r="L9" s="833">
        <f t="shared" si="1"/>
        <v>26621.279999999999</v>
      </c>
      <c r="M9" s="833">
        <f t="shared" ref="M9:M14" si="2">IF(G9=0,0,G9/$G$5/12)</f>
        <v>554.61</v>
      </c>
      <c r="N9" s="840"/>
      <c r="O9" s="833">
        <f t="shared" ref="O9:O14" si="3">IF(N9=0,0,N9/$G$4/12)</f>
        <v>0</v>
      </c>
      <c r="P9" s="810">
        <f t="shared" ref="P9:P15" si="4">IF(N9=0,0,(G9/N9))</f>
        <v>0</v>
      </c>
      <c r="Q9" s="817"/>
      <c r="R9" s="817"/>
      <c r="S9" s="497"/>
    </row>
    <row r="10" spans="1:34" s="497" customFormat="1" x14ac:dyDescent="0.25">
      <c r="A10" s="496">
        <v>3690001</v>
      </c>
      <c r="B10" s="301">
        <v>3690001.01</v>
      </c>
      <c r="C10" s="642" t="s">
        <v>65</v>
      </c>
      <c r="D10" s="832"/>
      <c r="E10" s="832"/>
      <c r="F10" s="832">
        <v>0</v>
      </c>
      <c r="G10" s="833">
        <f>'Line Items explanations'!H6</f>
        <v>0</v>
      </c>
      <c r="H10" s="607" t="str">
        <f t="shared" si="0"/>
        <v/>
      </c>
      <c r="I10" s="833">
        <f>+$G10/4</f>
        <v>0</v>
      </c>
      <c r="J10" s="833">
        <f t="shared" ref="J10:L13" si="5">+$G10/4</f>
        <v>0</v>
      </c>
      <c r="K10" s="833">
        <f t="shared" si="5"/>
        <v>0</v>
      </c>
      <c r="L10" s="833">
        <f t="shared" si="5"/>
        <v>0</v>
      </c>
      <c r="M10" s="833">
        <f t="shared" si="2"/>
        <v>0</v>
      </c>
      <c r="N10" s="840"/>
      <c r="O10" s="833">
        <f t="shared" si="3"/>
        <v>0</v>
      </c>
      <c r="P10" s="810">
        <f t="shared" si="4"/>
        <v>0</v>
      </c>
      <c r="Q10" s="817"/>
      <c r="R10" s="817"/>
    </row>
    <row r="11" spans="1:34" s="497" customFormat="1" x14ac:dyDescent="0.25">
      <c r="A11" s="496">
        <v>3690001</v>
      </c>
      <c r="B11" s="301">
        <v>3690001.02</v>
      </c>
      <c r="C11" s="642" t="s">
        <v>66</v>
      </c>
      <c r="D11" s="832">
        <f>54.92+7.3+0.24</f>
        <v>62.46</v>
      </c>
      <c r="E11" s="832">
        <v>72</v>
      </c>
      <c r="F11" s="832">
        <v>120</v>
      </c>
      <c r="G11" s="833">
        <f>'Line Items explanations'!H11</f>
        <v>120</v>
      </c>
      <c r="H11" s="607">
        <f t="shared" si="0"/>
        <v>0.66666666666666663</v>
      </c>
      <c r="I11" s="833">
        <f>+$G11/4</f>
        <v>30</v>
      </c>
      <c r="J11" s="833">
        <f t="shared" si="5"/>
        <v>30</v>
      </c>
      <c r="K11" s="833">
        <f t="shared" si="5"/>
        <v>30</v>
      </c>
      <c r="L11" s="833">
        <f t="shared" si="5"/>
        <v>30</v>
      </c>
      <c r="M11" s="833">
        <f t="shared" si="2"/>
        <v>0.625</v>
      </c>
      <c r="N11" s="840"/>
      <c r="O11" s="833">
        <f t="shared" si="3"/>
        <v>0</v>
      </c>
      <c r="P11" s="810">
        <f t="shared" si="4"/>
        <v>0</v>
      </c>
      <c r="Q11" s="817"/>
      <c r="R11" s="818"/>
    </row>
    <row r="12" spans="1:34" s="497" customFormat="1" x14ac:dyDescent="0.25">
      <c r="A12" s="496">
        <v>3110001</v>
      </c>
      <c r="B12" s="301">
        <v>3110001.01</v>
      </c>
      <c r="C12" s="642" t="s">
        <v>557</v>
      </c>
      <c r="D12" s="832">
        <v>48670</v>
      </c>
      <c r="E12" s="832">
        <v>55000</v>
      </c>
      <c r="F12" s="832">
        <v>55000</v>
      </c>
      <c r="G12" s="833">
        <v>55000</v>
      </c>
      <c r="H12" s="607">
        <f t="shared" si="0"/>
        <v>0</v>
      </c>
      <c r="I12" s="833">
        <f>+$G12/4</f>
        <v>13750</v>
      </c>
      <c r="J12" s="833">
        <f t="shared" si="5"/>
        <v>13750</v>
      </c>
      <c r="K12" s="833">
        <f t="shared" si="5"/>
        <v>13750</v>
      </c>
      <c r="L12" s="833">
        <f t="shared" si="5"/>
        <v>13750</v>
      </c>
      <c r="M12" s="833">
        <f t="shared" si="2"/>
        <v>286.45833333333331</v>
      </c>
      <c r="N12" s="840"/>
      <c r="O12" s="833">
        <f t="shared" si="3"/>
        <v>0</v>
      </c>
      <c r="P12" s="810">
        <f t="shared" si="4"/>
        <v>0</v>
      </c>
      <c r="Q12" s="817"/>
      <c r="R12" s="817"/>
    </row>
    <row r="13" spans="1:34" s="497" customFormat="1" x14ac:dyDescent="0.2">
      <c r="A13" s="496"/>
      <c r="B13" s="496"/>
      <c r="C13" s="642" t="s">
        <v>560</v>
      </c>
      <c r="D13" s="832"/>
      <c r="E13" s="832"/>
      <c r="F13" s="832">
        <v>0</v>
      </c>
      <c r="G13" s="833">
        <f>'Line Items explanations'!H21</f>
        <v>0</v>
      </c>
      <c r="H13" s="607" t="str">
        <f t="shared" si="0"/>
        <v/>
      </c>
      <c r="I13" s="833">
        <f>+$G13/4</f>
        <v>0</v>
      </c>
      <c r="J13" s="833">
        <f t="shared" si="5"/>
        <v>0</v>
      </c>
      <c r="K13" s="833">
        <f t="shared" si="5"/>
        <v>0</v>
      </c>
      <c r="L13" s="833">
        <f t="shared" si="5"/>
        <v>0</v>
      </c>
      <c r="M13" s="833">
        <f t="shared" si="2"/>
        <v>0</v>
      </c>
      <c r="N13" s="840"/>
      <c r="O13" s="833">
        <f t="shared" si="3"/>
        <v>0</v>
      </c>
      <c r="P13" s="810">
        <f t="shared" si="4"/>
        <v>0</v>
      </c>
      <c r="Q13" s="817"/>
      <c r="R13" s="817"/>
    </row>
    <row r="14" spans="1:34" s="497" customFormat="1" x14ac:dyDescent="0.25">
      <c r="A14" s="496">
        <v>3690001</v>
      </c>
      <c r="B14" s="301">
        <v>3690001.08</v>
      </c>
      <c r="C14" s="642" t="s">
        <v>717</v>
      </c>
      <c r="D14" s="832">
        <v>-3466.95</v>
      </c>
      <c r="E14" s="832"/>
      <c r="F14" s="832">
        <v>0</v>
      </c>
      <c r="G14" s="833">
        <f>'Line Items explanations'!H26</f>
        <v>0</v>
      </c>
      <c r="H14" s="607" t="str">
        <f t="shared" ref="H14:H36" si="6">IF(G14=0,"",IF(E14=0,100%,(G14-E14)/E14))</f>
        <v/>
      </c>
      <c r="I14" s="833">
        <f>+$G14/4</f>
        <v>0</v>
      </c>
      <c r="J14" s="833">
        <f>+$G14/4</f>
        <v>0</v>
      </c>
      <c r="K14" s="833">
        <f>+$G14/4</f>
        <v>0</v>
      </c>
      <c r="L14" s="833">
        <f>+$G14/4</f>
        <v>0</v>
      </c>
      <c r="M14" s="833">
        <f t="shared" si="2"/>
        <v>0</v>
      </c>
      <c r="N14" s="840"/>
      <c r="O14" s="833">
        <f t="shared" si="3"/>
        <v>0</v>
      </c>
      <c r="P14" s="810">
        <f t="shared" si="4"/>
        <v>0</v>
      </c>
      <c r="Q14" s="817"/>
      <c r="R14" s="817"/>
    </row>
    <row r="15" spans="1:34" s="505" customFormat="1" x14ac:dyDescent="0.2">
      <c r="A15" s="503" t="s">
        <v>95</v>
      </c>
      <c r="B15" s="503"/>
      <c r="C15" s="643" t="s">
        <v>79</v>
      </c>
      <c r="D15" s="834">
        <f>SUM(D9:D14)</f>
        <v>140467.51</v>
      </c>
      <c r="E15" s="834">
        <f>SUM(E9:E14)</f>
        <v>141487</v>
      </c>
      <c r="F15" s="834">
        <v>165116.45440000002</v>
      </c>
      <c r="G15" s="834">
        <f>SUM(G9:G14)</f>
        <v>161605.12</v>
      </c>
      <c r="H15" s="607">
        <f t="shared" si="6"/>
        <v>0.14219058994819309</v>
      </c>
      <c r="I15" s="834">
        <f t="shared" ref="I15:O15" si="7">SUM(I9:I14)</f>
        <v>40401.279999999999</v>
      </c>
      <c r="J15" s="834">
        <f t="shared" si="7"/>
        <v>40401.279999999999</v>
      </c>
      <c r="K15" s="834">
        <f t="shared" si="7"/>
        <v>40401.279999999999</v>
      </c>
      <c r="L15" s="834">
        <f t="shared" si="7"/>
        <v>40401.279999999999</v>
      </c>
      <c r="M15" s="834">
        <f t="shared" si="7"/>
        <v>841.69333333333338</v>
      </c>
      <c r="N15" s="834">
        <f t="shared" si="7"/>
        <v>0</v>
      </c>
      <c r="O15" s="834">
        <f t="shared" si="7"/>
        <v>0</v>
      </c>
      <c r="P15" s="811">
        <f t="shared" si="4"/>
        <v>0</v>
      </c>
      <c r="Q15" s="819"/>
      <c r="R15" s="819"/>
      <c r="S15" s="504"/>
    </row>
    <row r="16" spans="1:34" s="497" customFormat="1" x14ac:dyDescent="0.2">
      <c r="A16" s="496"/>
      <c r="B16" s="496"/>
      <c r="C16" s="644" t="s">
        <v>57</v>
      </c>
      <c r="D16" s="835"/>
      <c r="E16" s="835"/>
      <c r="F16" s="835"/>
      <c r="G16" s="833"/>
      <c r="H16" s="607" t="str">
        <f t="shared" si="6"/>
        <v/>
      </c>
      <c r="I16" s="841"/>
      <c r="J16" s="841"/>
      <c r="K16" s="841"/>
      <c r="L16" s="841"/>
      <c r="M16" s="841"/>
      <c r="N16" s="842"/>
      <c r="O16" s="841"/>
      <c r="P16" s="812"/>
      <c r="Q16" s="817"/>
      <c r="R16" s="817"/>
    </row>
    <row r="17" spans="1:18" s="497" customFormat="1" x14ac:dyDescent="0.2">
      <c r="A17" s="496"/>
      <c r="B17" s="496"/>
      <c r="C17" s="645" t="s">
        <v>0</v>
      </c>
      <c r="D17" s="836"/>
      <c r="E17" s="836"/>
      <c r="F17" s="836"/>
      <c r="G17" s="837"/>
      <c r="H17" s="607" t="str">
        <f t="shared" si="6"/>
        <v/>
      </c>
      <c r="I17" s="833"/>
      <c r="J17" s="833"/>
      <c r="K17" s="833"/>
      <c r="L17" s="833"/>
      <c r="M17" s="841"/>
      <c r="N17" s="842"/>
      <c r="O17" s="841"/>
      <c r="P17" s="812"/>
      <c r="Q17" s="817"/>
      <c r="R17" s="817"/>
    </row>
    <row r="18" spans="1:18" s="497" customFormat="1" x14ac:dyDescent="0.25">
      <c r="A18" s="496">
        <v>4110001</v>
      </c>
      <c r="B18" s="301">
        <v>4190051.02</v>
      </c>
      <c r="C18" s="646" t="s">
        <v>9</v>
      </c>
      <c r="D18" s="832">
        <f>922.51</f>
        <v>922.51</v>
      </c>
      <c r="E18" s="832">
        <v>920</v>
      </c>
      <c r="F18" s="832">
        <v>75</v>
      </c>
      <c r="G18" s="833">
        <f>'Line Items explanations'!H37</f>
        <v>75</v>
      </c>
      <c r="H18" s="607">
        <f>IF(G18=0,"",IF(E18=0,100%,(G18-E18)/E18))</f>
        <v>-0.91847826086956519</v>
      </c>
      <c r="I18" s="833">
        <f t="shared" ref="I18:L36" si="8">+$G18/4</f>
        <v>18.75</v>
      </c>
      <c r="J18" s="833">
        <f t="shared" si="8"/>
        <v>18.75</v>
      </c>
      <c r="K18" s="833">
        <f t="shared" si="8"/>
        <v>18.75</v>
      </c>
      <c r="L18" s="833">
        <f t="shared" si="8"/>
        <v>18.75</v>
      </c>
      <c r="M18" s="833">
        <f t="shared" ref="M18:M35" si="9">IF(G18=0,0,G18/$G$5/12)</f>
        <v>0.390625</v>
      </c>
      <c r="N18" s="840"/>
      <c r="O18" s="833">
        <f t="shared" ref="O18:O36" si="10">IF(N18=0,0,N18/$G$4/12)</f>
        <v>0</v>
      </c>
      <c r="P18" s="810">
        <f t="shared" ref="P18:P36" si="11">IF(N18=0,0,(G18/N18))</f>
        <v>0</v>
      </c>
      <c r="Q18" s="817"/>
      <c r="R18" s="817"/>
    </row>
    <row r="19" spans="1:18" s="497" customFormat="1" x14ac:dyDescent="0.25">
      <c r="A19" s="496">
        <v>4110001</v>
      </c>
      <c r="B19" s="301">
        <v>4192002</v>
      </c>
      <c r="C19" s="642" t="s">
        <v>104</v>
      </c>
      <c r="D19" s="832"/>
      <c r="E19" s="832"/>
      <c r="F19" s="832">
        <v>0</v>
      </c>
      <c r="G19" s="833">
        <f>'Line Items explanations'!H42</f>
        <v>0</v>
      </c>
      <c r="H19" s="607" t="str">
        <f t="shared" si="6"/>
        <v/>
      </c>
      <c r="I19" s="833">
        <f t="shared" si="8"/>
        <v>0</v>
      </c>
      <c r="J19" s="833">
        <f t="shared" si="8"/>
        <v>0</v>
      </c>
      <c r="K19" s="833">
        <f t="shared" si="8"/>
        <v>0</v>
      </c>
      <c r="L19" s="833">
        <f t="shared" si="8"/>
        <v>0</v>
      </c>
      <c r="M19" s="833">
        <f t="shared" si="9"/>
        <v>0</v>
      </c>
      <c r="N19" s="840"/>
      <c r="O19" s="833">
        <f t="shared" si="10"/>
        <v>0</v>
      </c>
      <c r="P19" s="810">
        <f t="shared" si="11"/>
        <v>0</v>
      </c>
      <c r="Q19" s="817"/>
      <c r="R19" s="817"/>
    </row>
    <row r="20" spans="1:18" s="497" customFormat="1" ht="47.25" x14ac:dyDescent="0.25">
      <c r="A20" s="496">
        <v>4190001</v>
      </c>
      <c r="B20" s="301">
        <v>4170001</v>
      </c>
      <c r="C20" s="646" t="s">
        <v>6</v>
      </c>
      <c r="D20" s="832">
        <v>9956</v>
      </c>
      <c r="E20" s="832">
        <v>9360</v>
      </c>
      <c r="F20" s="832">
        <v>11400</v>
      </c>
      <c r="G20" s="833">
        <f>'Line Items explanations'!H47</f>
        <v>11400</v>
      </c>
      <c r="H20" s="607">
        <f t="shared" si="6"/>
        <v>0.21794871794871795</v>
      </c>
      <c r="I20" s="833">
        <f t="shared" si="8"/>
        <v>2850</v>
      </c>
      <c r="J20" s="833">
        <f t="shared" si="8"/>
        <v>2850</v>
      </c>
      <c r="K20" s="833">
        <f t="shared" si="8"/>
        <v>2850</v>
      </c>
      <c r="L20" s="833">
        <f t="shared" si="8"/>
        <v>2850</v>
      </c>
      <c r="M20" s="833">
        <f t="shared" si="9"/>
        <v>59.375</v>
      </c>
      <c r="N20" s="840"/>
      <c r="O20" s="833">
        <f t="shared" si="10"/>
        <v>0</v>
      </c>
      <c r="P20" s="810">
        <f t="shared" si="11"/>
        <v>0</v>
      </c>
      <c r="Q20" s="817" t="s">
        <v>718</v>
      </c>
      <c r="R20" s="817"/>
    </row>
    <row r="21" spans="1:18" s="497" customFormat="1" x14ac:dyDescent="0.2">
      <c r="A21" s="496">
        <v>4190011</v>
      </c>
      <c r="B21" s="496"/>
      <c r="C21" s="646" t="s">
        <v>90</v>
      </c>
      <c r="D21" s="832"/>
      <c r="E21" s="832"/>
      <c r="F21" s="832">
        <v>0</v>
      </c>
      <c r="G21" s="833">
        <f>'Line Items explanations'!H52</f>
        <v>0</v>
      </c>
      <c r="H21" s="607" t="str">
        <f t="shared" si="6"/>
        <v/>
      </c>
      <c r="I21" s="833">
        <f t="shared" si="8"/>
        <v>0</v>
      </c>
      <c r="J21" s="833">
        <f t="shared" si="8"/>
        <v>0</v>
      </c>
      <c r="K21" s="833">
        <f t="shared" si="8"/>
        <v>0</v>
      </c>
      <c r="L21" s="833">
        <f t="shared" si="8"/>
        <v>0</v>
      </c>
      <c r="M21" s="833">
        <f t="shared" si="9"/>
        <v>0</v>
      </c>
      <c r="N21" s="840"/>
      <c r="O21" s="833">
        <f t="shared" si="10"/>
        <v>0</v>
      </c>
      <c r="P21" s="810">
        <f t="shared" si="11"/>
        <v>0</v>
      </c>
      <c r="Q21" s="817"/>
      <c r="R21" s="817"/>
    </row>
    <row r="22" spans="1:18" s="497" customFormat="1" x14ac:dyDescent="0.25">
      <c r="A22" s="496">
        <v>4195001</v>
      </c>
      <c r="B22" s="301">
        <v>4190049.01</v>
      </c>
      <c r="C22" s="646" t="s">
        <v>5</v>
      </c>
      <c r="D22" s="832">
        <v>221.11</v>
      </c>
      <c r="E22" s="832">
        <v>1364</v>
      </c>
      <c r="F22" s="832">
        <v>780</v>
      </c>
      <c r="G22" s="833">
        <f>'Line Items explanations'!H57</f>
        <v>780</v>
      </c>
      <c r="H22" s="607">
        <f t="shared" si="6"/>
        <v>-0.42815249266862171</v>
      </c>
      <c r="I22" s="833">
        <f t="shared" si="8"/>
        <v>195</v>
      </c>
      <c r="J22" s="833">
        <f t="shared" si="8"/>
        <v>195</v>
      </c>
      <c r="K22" s="833">
        <f t="shared" si="8"/>
        <v>195</v>
      </c>
      <c r="L22" s="833">
        <f t="shared" si="8"/>
        <v>195</v>
      </c>
      <c r="M22" s="833">
        <f t="shared" si="9"/>
        <v>4.0625</v>
      </c>
      <c r="N22" s="840"/>
      <c r="O22" s="833">
        <f t="shared" si="10"/>
        <v>0</v>
      </c>
      <c r="P22" s="810">
        <f t="shared" si="11"/>
        <v>0</v>
      </c>
      <c r="Q22" s="817"/>
      <c r="R22" s="817"/>
    </row>
    <row r="23" spans="1:18" s="497" customFormat="1" x14ac:dyDescent="0.25">
      <c r="A23" s="496"/>
      <c r="B23" s="301">
        <v>4193001</v>
      </c>
      <c r="C23" s="646" t="s">
        <v>72</v>
      </c>
      <c r="D23" s="832"/>
      <c r="E23" s="832"/>
      <c r="F23" s="832">
        <v>0</v>
      </c>
      <c r="G23" s="833">
        <f>'Line Items explanations'!H62</f>
        <v>0</v>
      </c>
      <c r="H23" s="607" t="str">
        <f t="shared" si="6"/>
        <v/>
      </c>
      <c r="I23" s="833">
        <f t="shared" si="8"/>
        <v>0</v>
      </c>
      <c r="J23" s="833">
        <f t="shared" si="8"/>
        <v>0</v>
      </c>
      <c r="K23" s="833">
        <f t="shared" si="8"/>
        <v>0</v>
      </c>
      <c r="L23" s="833">
        <f t="shared" si="8"/>
        <v>0</v>
      </c>
      <c r="M23" s="833">
        <f t="shared" si="9"/>
        <v>0</v>
      </c>
      <c r="N23" s="840"/>
      <c r="O23" s="833">
        <f t="shared" si="10"/>
        <v>0</v>
      </c>
      <c r="P23" s="810">
        <f t="shared" si="11"/>
        <v>0</v>
      </c>
      <c r="Q23" s="817"/>
      <c r="R23" s="817"/>
    </row>
    <row r="24" spans="1:18" s="497" customFormat="1" ht="47.25" x14ac:dyDescent="0.25">
      <c r="A24" s="496">
        <v>4210001</v>
      </c>
      <c r="B24" s="301">
        <v>4190049.04</v>
      </c>
      <c r="C24" s="646" t="s">
        <v>73</v>
      </c>
      <c r="D24" s="832">
        <f>168.87+62.5</f>
        <v>231.37</v>
      </c>
      <c r="E24" s="832">
        <v>120</v>
      </c>
      <c r="F24" s="832">
        <v>900</v>
      </c>
      <c r="G24" s="833">
        <f>'Line Items explanations'!H67</f>
        <v>900</v>
      </c>
      <c r="H24" s="607">
        <f t="shared" si="6"/>
        <v>6.5</v>
      </c>
      <c r="I24" s="833">
        <f t="shared" si="8"/>
        <v>225</v>
      </c>
      <c r="J24" s="833">
        <f t="shared" si="8"/>
        <v>225</v>
      </c>
      <c r="K24" s="833">
        <f t="shared" si="8"/>
        <v>225</v>
      </c>
      <c r="L24" s="833">
        <f t="shared" si="8"/>
        <v>225</v>
      </c>
      <c r="M24" s="833">
        <f t="shared" si="9"/>
        <v>4.6875</v>
      </c>
      <c r="N24" s="840"/>
      <c r="O24" s="833">
        <f t="shared" si="10"/>
        <v>0</v>
      </c>
      <c r="P24" s="810">
        <f t="shared" si="11"/>
        <v>0</v>
      </c>
      <c r="Q24" s="817" t="s">
        <v>719</v>
      </c>
      <c r="R24" s="817"/>
    </row>
    <row r="25" spans="1:18" s="497" customFormat="1" ht="47.25" x14ac:dyDescent="0.25">
      <c r="A25" s="496">
        <v>4220001</v>
      </c>
      <c r="B25" s="301">
        <v>4130004.02</v>
      </c>
      <c r="C25" s="646" t="s">
        <v>67</v>
      </c>
      <c r="D25" s="832">
        <v>1562.5</v>
      </c>
      <c r="E25" s="832">
        <v>1560</v>
      </c>
      <c r="F25" s="832">
        <v>2376</v>
      </c>
      <c r="G25" s="833">
        <f>'Line Items explanations'!H72</f>
        <v>2376</v>
      </c>
      <c r="H25" s="607">
        <f t="shared" si="6"/>
        <v>0.52307692307692311</v>
      </c>
      <c r="I25" s="833">
        <f t="shared" si="8"/>
        <v>594</v>
      </c>
      <c r="J25" s="833">
        <f t="shared" si="8"/>
        <v>594</v>
      </c>
      <c r="K25" s="833">
        <f t="shared" si="8"/>
        <v>594</v>
      </c>
      <c r="L25" s="833">
        <f t="shared" si="8"/>
        <v>594</v>
      </c>
      <c r="M25" s="833">
        <f t="shared" si="9"/>
        <v>12.375</v>
      </c>
      <c r="N25" s="840"/>
      <c r="O25" s="833">
        <f t="shared" si="10"/>
        <v>0</v>
      </c>
      <c r="P25" s="810">
        <f t="shared" si="11"/>
        <v>0</v>
      </c>
      <c r="Q25" s="817" t="s">
        <v>720</v>
      </c>
      <c r="R25" s="817"/>
    </row>
    <row r="26" spans="1:18" s="497" customFormat="1" ht="47.25" x14ac:dyDescent="0.25">
      <c r="A26" s="496">
        <v>4190049</v>
      </c>
      <c r="B26" s="301">
        <v>4130004.01</v>
      </c>
      <c r="C26" s="646" t="s">
        <v>68</v>
      </c>
      <c r="D26" s="832"/>
      <c r="E26" s="832"/>
      <c r="F26" s="832">
        <v>2970</v>
      </c>
      <c r="G26" s="833">
        <f>'Line Items explanations'!H77</f>
        <v>2970</v>
      </c>
      <c r="H26" s="607">
        <f t="shared" si="6"/>
        <v>1</v>
      </c>
      <c r="I26" s="833">
        <f t="shared" si="8"/>
        <v>742.5</v>
      </c>
      <c r="J26" s="833">
        <f t="shared" si="8"/>
        <v>742.5</v>
      </c>
      <c r="K26" s="833">
        <f t="shared" si="8"/>
        <v>742.5</v>
      </c>
      <c r="L26" s="833">
        <f t="shared" si="8"/>
        <v>742.5</v>
      </c>
      <c r="M26" s="833">
        <f t="shared" si="9"/>
        <v>15.46875</v>
      </c>
      <c r="N26" s="840"/>
      <c r="O26" s="833">
        <f t="shared" si="10"/>
        <v>0</v>
      </c>
      <c r="P26" s="810">
        <f t="shared" si="11"/>
        <v>0</v>
      </c>
      <c r="Q26" s="817" t="s">
        <v>721</v>
      </c>
      <c r="R26" s="817"/>
    </row>
    <row r="27" spans="1:18" s="497" customFormat="1" x14ac:dyDescent="0.25">
      <c r="A27" s="496">
        <v>4130004</v>
      </c>
      <c r="B27" s="301">
        <v>4195001</v>
      </c>
      <c r="C27" s="646" t="s">
        <v>4</v>
      </c>
      <c r="D27" s="832">
        <v>8832</v>
      </c>
      <c r="E27" s="832">
        <v>8880</v>
      </c>
      <c r="F27" s="832">
        <v>8448</v>
      </c>
      <c r="G27" s="833">
        <f>'Line Items explanations'!H82</f>
        <v>8448</v>
      </c>
      <c r="H27" s="607">
        <f t="shared" si="6"/>
        <v>-4.8648648648648651E-2</v>
      </c>
      <c r="I27" s="833">
        <f t="shared" si="8"/>
        <v>2112</v>
      </c>
      <c r="J27" s="833">
        <f t="shared" si="8"/>
        <v>2112</v>
      </c>
      <c r="K27" s="833">
        <f t="shared" si="8"/>
        <v>2112</v>
      </c>
      <c r="L27" s="833">
        <f t="shared" si="8"/>
        <v>2112</v>
      </c>
      <c r="M27" s="833">
        <f t="shared" si="9"/>
        <v>44</v>
      </c>
      <c r="N27" s="840"/>
      <c r="O27" s="833">
        <f t="shared" si="10"/>
        <v>0</v>
      </c>
      <c r="P27" s="810">
        <f t="shared" si="11"/>
        <v>0</v>
      </c>
      <c r="Q27" s="817"/>
      <c r="R27" s="817"/>
    </row>
    <row r="28" spans="1:18" s="497" customFormat="1" ht="31.5" x14ac:dyDescent="0.25">
      <c r="A28" s="496">
        <v>4130004</v>
      </c>
      <c r="B28" s="301">
        <v>4110001.02</v>
      </c>
      <c r="C28" s="646" t="s">
        <v>2</v>
      </c>
      <c r="D28" s="832">
        <v>6783.58</v>
      </c>
      <c r="E28" s="832">
        <v>6840</v>
      </c>
      <c r="F28" s="832">
        <v>8000</v>
      </c>
      <c r="G28" s="833">
        <f>'Compensation Details'!F20</f>
        <v>8000</v>
      </c>
      <c r="H28" s="607">
        <f t="shared" si="6"/>
        <v>0.16959064327485379</v>
      </c>
      <c r="I28" s="833">
        <f t="shared" si="8"/>
        <v>2000</v>
      </c>
      <c r="J28" s="833">
        <f t="shared" si="8"/>
        <v>2000</v>
      </c>
      <c r="K28" s="833">
        <f t="shared" si="8"/>
        <v>2000</v>
      </c>
      <c r="L28" s="833">
        <f t="shared" si="8"/>
        <v>2000</v>
      </c>
      <c r="M28" s="833">
        <f t="shared" si="9"/>
        <v>41.666666666666664</v>
      </c>
      <c r="N28" s="840"/>
      <c r="O28" s="833">
        <f t="shared" si="10"/>
        <v>0</v>
      </c>
      <c r="P28" s="810">
        <f t="shared" si="11"/>
        <v>0</v>
      </c>
      <c r="Q28" s="817" t="s">
        <v>722</v>
      </c>
      <c r="R28" s="817"/>
    </row>
    <row r="29" spans="1:18" s="497" customFormat="1" x14ac:dyDescent="0.25">
      <c r="A29" s="496">
        <v>4193001</v>
      </c>
      <c r="B29" s="301">
        <v>4110001.01</v>
      </c>
      <c r="C29" s="646" t="s">
        <v>1</v>
      </c>
      <c r="D29" s="832">
        <v>0</v>
      </c>
      <c r="E29" s="832"/>
      <c r="F29" s="832">
        <v>0</v>
      </c>
      <c r="G29" s="833">
        <f>'Compensation Details'!F13</f>
        <v>0</v>
      </c>
      <c r="H29" s="607" t="str">
        <f t="shared" si="6"/>
        <v/>
      </c>
      <c r="I29" s="833">
        <f t="shared" si="8"/>
        <v>0</v>
      </c>
      <c r="J29" s="833">
        <f t="shared" si="8"/>
        <v>0</v>
      </c>
      <c r="K29" s="833">
        <f t="shared" si="8"/>
        <v>0</v>
      </c>
      <c r="L29" s="833">
        <f t="shared" si="8"/>
        <v>0</v>
      </c>
      <c r="M29" s="833">
        <f t="shared" si="9"/>
        <v>0</v>
      </c>
      <c r="N29" s="840"/>
      <c r="O29" s="833">
        <f t="shared" si="10"/>
        <v>0</v>
      </c>
      <c r="P29" s="810">
        <f t="shared" si="11"/>
        <v>0</v>
      </c>
      <c r="Q29" s="817"/>
      <c r="R29" s="817"/>
    </row>
    <row r="30" spans="1:18" s="497" customFormat="1" x14ac:dyDescent="0.25">
      <c r="A30" s="496">
        <v>4190014</v>
      </c>
      <c r="B30" s="301">
        <v>4190011.02</v>
      </c>
      <c r="C30" s="646" t="s">
        <v>85</v>
      </c>
      <c r="D30" s="832">
        <v>50.92</v>
      </c>
      <c r="E30" s="832"/>
      <c r="F30" s="832">
        <v>100</v>
      </c>
      <c r="G30" s="833">
        <f>'Line Items explanations'!H97</f>
        <v>100</v>
      </c>
      <c r="H30" s="607">
        <f t="shared" si="6"/>
        <v>1</v>
      </c>
      <c r="I30" s="833">
        <f t="shared" si="8"/>
        <v>25</v>
      </c>
      <c r="J30" s="833">
        <f t="shared" si="8"/>
        <v>25</v>
      </c>
      <c r="K30" s="833">
        <f t="shared" si="8"/>
        <v>25</v>
      </c>
      <c r="L30" s="833">
        <f t="shared" si="8"/>
        <v>25</v>
      </c>
      <c r="M30" s="833">
        <f t="shared" si="9"/>
        <v>0.52083333333333337</v>
      </c>
      <c r="N30" s="840"/>
      <c r="O30" s="833">
        <f t="shared" si="10"/>
        <v>0</v>
      </c>
      <c r="P30" s="810">
        <f t="shared" si="11"/>
        <v>0</v>
      </c>
      <c r="Q30" s="817" t="s">
        <v>723</v>
      </c>
      <c r="R30" s="817"/>
    </row>
    <row r="31" spans="1:18" s="497" customFormat="1" hidden="1" x14ac:dyDescent="0.2">
      <c r="A31" s="496">
        <v>4570001</v>
      </c>
      <c r="B31" s="496"/>
      <c r="C31" s="642" t="s">
        <v>107</v>
      </c>
      <c r="D31" s="832"/>
      <c r="E31" s="832"/>
      <c r="F31" s="832">
        <v>0</v>
      </c>
      <c r="G31" s="833">
        <f>'Line Items explanations'!H102</f>
        <v>0</v>
      </c>
      <c r="H31" s="607" t="str">
        <f t="shared" si="6"/>
        <v/>
      </c>
      <c r="I31" s="833">
        <f t="shared" si="8"/>
        <v>0</v>
      </c>
      <c r="J31" s="833">
        <f t="shared" si="8"/>
        <v>0</v>
      </c>
      <c r="K31" s="833">
        <f t="shared" si="8"/>
        <v>0</v>
      </c>
      <c r="L31" s="833">
        <f t="shared" si="8"/>
        <v>0</v>
      </c>
      <c r="M31" s="833">
        <f t="shared" si="9"/>
        <v>0</v>
      </c>
      <c r="N31" s="840"/>
      <c r="O31" s="833">
        <f t="shared" si="10"/>
        <v>0</v>
      </c>
      <c r="P31" s="810">
        <f t="shared" si="11"/>
        <v>0</v>
      </c>
      <c r="Q31" s="817"/>
      <c r="R31" s="817"/>
    </row>
    <row r="32" spans="1:18" s="497" customFormat="1" ht="31.5" x14ac:dyDescent="0.25">
      <c r="A32" s="496" t="s">
        <v>347</v>
      </c>
      <c r="B32" s="301">
        <v>4190001.01</v>
      </c>
      <c r="C32" s="646" t="s">
        <v>3</v>
      </c>
      <c r="D32" s="832">
        <f>32.88+240.95</f>
        <v>273.83</v>
      </c>
      <c r="E32" s="832">
        <v>120</v>
      </c>
      <c r="F32" s="832">
        <v>240</v>
      </c>
      <c r="G32" s="833">
        <v>240</v>
      </c>
      <c r="H32" s="607">
        <f t="shared" si="6"/>
        <v>1</v>
      </c>
      <c r="I32" s="833">
        <f t="shared" si="8"/>
        <v>60</v>
      </c>
      <c r="J32" s="833">
        <f t="shared" si="8"/>
        <v>60</v>
      </c>
      <c r="K32" s="833">
        <f t="shared" si="8"/>
        <v>60</v>
      </c>
      <c r="L32" s="833">
        <f t="shared" si="8"/>
        <v>60</v>
      </c>
      <c r="M32" s="833">
        <f t="shared" si="9"/>
        <v>1.25</v>
      </c>
      <c r="N32" s="840"/>
      <c r="O32" s="833">
        <f t="shared" si="10"/>
        <v>0</v>
      </c>
      <c r="P32" s="810">
        <f t="shared" si="11"/>
        <v>0</v>
      </c>
      <c r="Q32" s="817" t="s">
        <v>724</v>
      </c>
      <c r="R32" s="817"/>
    </row>
    <row r="33" spans="1:19" s="497" customFormat="1" x14ac:dyDescent="0.25">
      <c r="A33" s="496">
        <v>4190008</v>
      </c>
      <c r="B33" s="301">
        <v>4190030.01</v>
      </c>
      <c r="C33" s="642" t="s">
        <v>94</v>
      </c>
      <c r="D33" s="832"/>
      <c r="E33" s="832"/>
      <c r="F33" s="832">
        <v>0</v>
      </c>
      <c r="G33" s="833">
        <f>'Line Items explanations'!H112</f>
        <v>0</v>
      </c>
      <c r="H33" s="607" t="str">
        <f t="shared" si="6"/>
        <v/>
      </c>
      <c r="I33" s="833">
        <f t="shared" si="8"/>
        <v>0</v>
      </c>
      <c r="J33" s="833">
        <f t="shared" si="8"/>
        <v>0</v>
      </c>
      <c r="K33" s="833">
        <f t="shared" si="8"/>
        <v>0</v>
      </c>
      <c r="L33" s="833">
        <f t="shared" si="8"/>
        <v>0</v>
      </c>
      <c r="M33" s="833">
        <f t="shared" si="9"/>
        <v>0</v>
      </c>
      <c r="N33" s="840"/>
      <c r="O33" s="833">
        <f t="shared" si="10"/>
        <v>0</v>
      </c>
      <c r="P33" s="810">
        <f t="shared" si="11"/>
        <v>0</v>
      </c>
      <c r="Q33" s="817"/>
      <c r="R33" s="817"/>
    </row>
    <row r="34" spans="1:19" s="497" customFormat="1" x14ac:dyDescent="0.25">
      <c r="A34" s="496">
        <v>4190051</v>
      </c>
      <c r="B34" s="301">
        <v>4190049.02</v>
      </c>
      <c r="C34" s="642" t="s">
        <v>110</v>
      </c>
      <c r="D34" s="832"/>
      <c r="E34" s="832"/>
      <c r="F34" s="832">
        <v>0</v>
      </c>
      <c r="G34" s="833">
        <f>'Line Items explanations'!H117</f>
        <v>0</v>
      </c>
      <c r="H34" s="607" t="str">
        <f t="shared" si="6"/>
        <v/>
      </c>
      <c r="I34" s="833">
        <f t="shared" si="8"/>
        <v>0</v>
      </c>
      <c r="J34" s="833">
        <f t="shared" si="8"/>
        <v>0</v>
      </c>
      <c r="K34" s="833">
        <f t="shared" si="8"/>
        <v>0</v>
      </c>
      <c r="L34" s="833">
        <f t="shared" si="8"/>
        <v>0</v>
      </c>
      <c r="M34" s="833">
        <f t="shared" si="9"/>
        <v>0</v>
      </c>
      <c r="N34" s="840"/>
      <c r="O34" s="833">
        <f t="shared" si="10"/>
        <v>0</v>
      </c>
      <c r="P34" s="810">
        <f t="shared" si="11"/>
        <v>0</v>
      </c>
      <c r="Q34" s="817"/>
      <c r="R34" s="817"/>
    </row>
    <row r="35" spans="1:19" s="497" customFormat="1" ht="63" x14ac:dyDescent="0.25">
      <c r="A35" s="496">
        <v>4190049</v>
      </c>
      <c r="B35" s="301">
        <v>4190008</v>
      </c>
      <c r="C35" s="646" t="s">
        <v>8</v>
      </c>
      <c r="D35" s="832">
        <v>288.42</v>
      </c>
      <c r="E35" s="832">
        <v>240</v>
      </c>
      <c r="F35" s="832">
        <v>360</v>
      </c>
      <c r="G35" s="833">
        <f>'Line Items explanations'!H122</f>
        <v>360</v>
      </c>
      <c r="H35" s="607">
        <f t="shared" si="6"/>
        <v>0.5</v>
      </c>
      <c r="I35" s="833">
        <f t="shared" si="8"/>
        <v>90</v>
      </c>
      <c r="J35" s="833">
        <f t="shared" si="8"/>
        <v>90</v>
      </c>
      <c r="K35" s="833">
        <f t="shared" si="8"/>
        <v>90</v>
      </c>
      <c r="L35" s="833">
        <f t="shared" si="8"/>
        <v>90</v>
      </c>
      <c r="M35" s="833">
        <f t="shared" si="9"/>
        <v>1.875</v>
      </c>
      <c r="N35" s="840"/>
      <c r="O35" s="833">
        <f t="shared" si="10"/>
        <v>0</v>
      </c>
      <c r="P35" s="810">
        <f t="shared" si="11"/>
        <v>0</v>
      </c>
      <c r="Q35" s="817" t="s">
        <v>725</v>
      </c>
      <c r="R35" s="817"/>
    </row>
    <row r="36" spans="1:19" s="497" customFormat="1" x14ac:dyDescent="0.25">
      <c r="A36" s="496">
        <v>4150003</v>
      </c>
      <c r="B36" s="301">
        <v>4230001</v>
      </c>
      <c r="C36" s="646" t="s">
        <v>88</v>
      </c>
      <c r="D36" s="832"/>
      <c r="E36" s="832"/>
      <c r="F36" s="832">
        <v>300</v>
      </c>
      <c r="G36" s="833">
        <f>'Line Items explanations'!H127</f>
        <v>300</v>
      </c>
      <c r="H36" s="607">
        <f t="shared" si="6"/>
        <v>1</v>
      </c>
      <c r="I36" s="833">
        <f t="shared" si="8"/>
        <v>75</v>
      </c>
      <c r="J36" s="833">
        <f t="shared" si="8"/>
        <v>75</v>
      </c>
      <c r="K36" s="833">
        <f t="shared" si="8"/>
        <v>75</v>
      </c>
      <c r="L36" s="833">
        <f t="shared" si="8"/>
        <v>75</v>
      </c>
      <c r="M36" s="833">
        <f>IF(G36=0,0,G36/$G$5/12)</f>
        <v>1.5625</v>
      </c>
      <c r="N36" s="840"/>
      <c r="O36" s="833">
        <f t="shared" si="10"/>
        <v>0</v>
      </c>
      <c r="P36" s="810">
        <f t="shared" si="11"/>
        <v>0</v>
      </c>
      <c r="Q36" s="817"/>
      <c r="R36" s="817"/>
    </row>
    <row r="37" spans="1:19" s="497" customFormat="1" x14ac:dyDescent="0.25">
      <c r="A37" s="496">
        <v>4190004</v>
      </c>
      <c r="B37" s="301">
        <v>4230001</v>
      </c>
      <c r="C37" s="646" t="s">
        <v>87</v>
      </c>
      <c r="D37" s="832"/>
      <c r="E37" s="832"/>
      <c r="F37" s="832">
        <v>0</v>
      </c>
      <c r="G37" s="833">
        <f>'Line Items explanations'!H132</f>
        <v>0</v>
      </c>
      <c r="H37" s="607" t="str">
        <f t="shared" ref="H37:H64" si="12">IF(G37=0,"",IF(E37=0,100%,(G37-E37)/E37))</f>
        <v/>
      </c>
      <c r="I37" s="833">
        <f t="shared" ref="I37:L43" si="13">+$G37/4</f>
        <v>0</v>
      </c>
      <c r="J37" s="833">
        <f t="shared" si="13"/>
        <v>0</v>
      </c>
      <c r="K37" s="833">
        <f t="shared" si="13"/>
        <v>0</v>
      </c>
      <c r="L37" s="833">
        <f t="shared" si="13"/>
        <v>0</v>
      </c>
      <c r="M37" s="833">
        <f t="shared" ref="M37:M43" si="14">IF(G37=0,0,G37/$G$5/12)</f>
        <v>0</v>
      </c>
      <c r="N37" s="840"/>
      <c r="O37" s="833">
        <f t="shared" ref="O37:O43" si="15">IF(N37=0,0,N37/$G$4/12)</f>
        <v>0</v>
      </c>
      <c r="P37" s="810">
        <f t="shared" ref="P37:P44" si="16">IF(N37=0,0,(G37/N37))</f>
        <v>0</v>
      </c>
      <c r="Q37" s="817"/>
      <c r="R37" s="817"/>
    </row>
    <row r="38" spans="1:19" s="497" customFormat="1" x14ac:dyDescent="0.25">
      <c r="A38" s="496">
        <v>4190030</v>
      </c>
      <c r="B38" s="301">
        <v>4210001</v>
      </c>
      <c r="C38" s="646" t="s">
        <v>564</v>
      </c>
      <c r="D38" s="832"/>
      <c r="E38" s="832"/>
      <c r="F38" s="832">
        <v>0</v>
      </c>
      <c r="G38" s="833">
        <f>'Compensation Details'!F27</f>
        <v>0</v>
      </c>
      <c r="H38" s="607" t="str">
        <f t="shared" si="12"/>
        <v/>
      </c>
      <c r="I38" s="833">
        <f t="shared" si="13"/>
        <v>0</v>
      </c>
      <c r="J38" s="833">
        <f t="shared" si="13"/>
        <v>0</v>
      </c>
      <c r="K38" s="833">
        <f t="shared" si="13"/>
        <v>0</v>
      </c>
      <c r="L38" s="833">
        <f t="shared" si="13"/>
        <v>0</v>
      </c>
      <c r="M38" s="833">
        <f t="shared" si="14"/>
        <v>0</v>
      </c>
      <c r="N38" s="840"/>
      <c r="O38" s="833">
        <f t="shared" si="15"/>
        <v>0</v>
      </c>
      <c r="P38" s="810">
        <f t="shared" si="16"/>
        <v>0</v>
      </c>
      <c r="Q38" s="817"/>
      <c r="R38" s="817"/>
    </row>
    <row r="39" spans="1:19" s="497" customFormat="1" ht="47.25" x14ac:dyDescent="0.25">
      <c r="A39" s="496">
        <v>4230001</v>
      </c>
      <c r="B39" s="301">
        <v>4140001</v>
      </c>
      <c r="C39" s="646" t="s">
        <v>75</v>
      </c>
      <c r="D39" s="832"/>
      <c r="E39" s="832"/>
      <c r="F39" s="832">
        <v>300</v>
      </c>
      <c r="G39" s="833">
        <f>'Line Items explanations'!H142</f>
        <v>300</v>
      </c>
      <c r="H39" s="607">
        <f t="shared" si="12"/>
        <v>1</v>
      </c>
      <c r="I39" s="833">
        <f t="shared" si="13"/>
        <v>75</v>
      </c>
      <c r="J39" s="833">
        <f t="shared" si="13"/>
        <v>75</v>
      </c>
      <c r="K39" s="833">
        <f t="shared" si="13"/>
        <v>75</v>
      </c>
      <c r="L39" s="833">
        <f t="shared" si="13"/>
        <v>75</v>
      </c>
      <c r="M39" s="833">
        <f t="shared" si="14"/>
        <v>1.5625</v>
      </c>
      <c r="N39" s="840"/>
      <c r="O39" s="833">
        <f t="shared" si="15"/>
        <v>0</v>
      </c>
      <c r="P39" s="810">
        <f t="shared" si="16"/>
        <v>0</v>
      </c>
      <c r="Q39" s="817" t="s">
        <v>726</v>
      </c>
      <c r="R39" s="817"/>
    </row>
    <row r="40" spans="1:19" s="497" customFormat="1" x14ac:dyDescent="0.25">
      <c r="A40" s="496">
        <v>4192001</v>
      </c>
      <c r="B40" s="301">
        <v>4190030.02</v>
      </c>
      <c r="C40" s="642" t="s">
        <v>109</v>
      </c>
      <c r="D40" s="832"/>
      <c r="E40" s="832"/>
      <c r="F40" s="832">
        <v>0</v>
      </c>
      <c r="G40" s="833">
        <f>'Line Items explanations'!H147</f>
        <v>0</v>
      </c>
      <c r="H40" s="607" t="str">
        <f t="shared" si="12"/>
        <v/>
      </c>
      <c r="I40" s="833">
        <f t="shared" si="13"/>
        <v>0</v>
      </c>
      <c r="J40" s="833">
        <f t="shared" si="13"/>
        <v>0</v>
      </c>
      <c r="K40" s="833">
        <f t="shared" si="13"/>
        <v>0</v>
      </c>
      <c r="L40" s="833">
        <f t="shared" si="13"/>
        <v>0</v>
      </c>
      <c r="M40" s="833">
        <f t="shared" si="14"/>
        <v>0</v>
      </c>
      <c r="N40" s="840"/>
      <c r="O40" s="833">
        <f t="shared" si="15"/>
        <v>0</v>
      </c>
      <c r="P40" s="810">
        <f t="shared" si="16"/>
        <v>0</v>
      </c>
      <c r="Q40" s="817"/>
      <c r="R40" s="817"/>
    </row>
    <row r="41" spans="1:19" s="497" customFormat="1" x14ac:dyDescent="0.25">
      <c r="A41" s="496">
        <v>4192002</v>
      </c>
      <c r="B41" s="301">
        <v>4192001</v>
      </c>
      <c r="C41" s="642" t="s">
        <v>103</v>
      </c>
      <c r="D41" s="832"/>
      <c r="E41" s="832"/>
      <c r="F41" s="832">
        <v>0</v>
      </c>
      <c r="G41" s="833">
        <f>'Line Items explanations'!H152</f>
        <v>0</v>
      </c>
      <c r="H41" s="607" t="str">
        <f t="shared" si="12"/>
        <v/>
      </c>
      <c r="I41" s="833">
        <f t="shared" si="13"/>
        <v>0</v>
      </c>
      <c r="J41" s="833">
        <f t="shared" si="13"/>
        <v>0</v>
      </c>
      <c r="K41" s="833">
        <f t="shared" si="13"/>
        <v>0</v>
      </c>
      <c r="L41" s="833">
        <f t="shared" si="13"/>
        <v>0</v>
      </c>
      <c r="M41" s="833">
        <f t="shared" si="14"/>
        <v>0</v>
      </c>
      <c r="N41" s="840"/>
      <c r="O41" s="833">
        <f t="shared" si="15"/>
        <v>0</v>
      </c>
      <c r="P41" s="810">
        <f t="shared" si="16"/>
        <v>0</v>
      </c>
      <c r="Q41" s="817"/>
      <c r="R41" s="817"/>
    </row>
    <row r="42" spans="1:19" s="497" customFormat="1" x14ac:dyDescent="0.25">
      <c r="A42" s="496">
        <v>4190030</v>
      </c>
      <c r="B42" s="301">
        <v>4190014</v>
      </c>
      <c r="C42" s="646" t="s">
        <v>7</v>
      </c>
      <c r="D42" s="832">
        <v>909.96</v>
      </c>
      <c r="E42" s="832">
        <v>960</v>
      </c>
      <c r="F42" s="832">
        <v>135</v>
      </c>
      <c r="G42" s="833">
        <f>'Line Items explanations'!H157</f>
        <v>135</v>
      </c>
      <c r="H42" s="607">
        <f t="shared" si="12"/>
        <v>-0.859375</v>
      </c>
      <c r="I42" s="833">
        <f t="shared" si="13"/>
        <v>33.75</v>
      </c>
      <c r="J42" s="833">
        <f t="shared" si="13"/>
        <v>33.75</v>
      </c>
      <c r="K42" s="833">
        <f t="shared" si="13"/>
        <v>33.75</v>
      </c>
      <c r="L42" s="833">
        <f t="shared" si="13"/>
        <v>33.75</v>
      </c>
      <c r="M42" s="833">
        <f t="shared" si="14"/>
        <v>0.703125</v>
      </c>
      <c r="N42" s="840"/>
      <c r="O42" s="833">
        <f t="shared" si="15"/>
        <v>0</v>
      </c>
      <c r="P42" s="810">
        <f t="shared" si="16"/>
        <v>0</v>
      </c>
      <c r="Q42" s="817"/>
      <c r="R42" s="817"/>
    </row>
    <row r="43" spans="1:19" s="497" customFormat="1" x14ac:dyDescent="0.25">
      <c r="A43" s="496">
        <v>4190049</v>
      </c>
      <c r="B43" s="301">
        <v>4150003</v>
      </c>
      <c r="C43" s="646" t="s">
        <v>565</v>
      </c>
      <c r="D43" s="832"/>
      <c r="E43" s="832"/>
      <c r="F43" s="832">
        <v>0</v>
      </c>
      <c r="G43" s="833">
        <f>'Line Items explanations'!H162</f>
        <v>0</v>
      </c>
      <c r="H43" s="607" t="str">
        <f t="shared" si="12"/>
        <v/>
      </c>
      <c r="I43" s="833">
        <f t="shared" si="13"/>
        <v>0</v>
      </c>
      <c r="J43" s="833">
        <f t="shared" si="13"/>
        <v>0</v>
      </c>
      <c r="K43" s="833">
        <f t="shared" si="13"/>
        <v>0</v>
      </c>
      <c r="L43" s="833">
        <f t="shared" si="13"/>
        <v>0</v>
      </c>
      <c r="M43" s="833">
        <f t="shared" si="14"/>
        <v>0</v>
      </c>
      <c r="N43" s="840"/>
      <c r="O43" s="833">
        <f t="shared" si="15"/>
        <v>0</v>
      </c>
      <c r="P43" s="810">
        <f t="shared" si="16"/>
        <v>0</v>
      </c>
      <c r="Q43" s="817"/>
      <c r="R43" s="817"/>
    </row>
    <row r="44" spans="1:19" s="508" customFormat="1" x14ac:dyDescent="0.2">
      <c r="A44" s="503" t="s">
        <v>96</v>
      </c>
      <c r="B44" s="503"/>
      <c r="C44" s="609" t="s">
        <v>10</v>
      </c>
      <c r="D44" s="829">
        <f>SUM(D18:D43)</f>
        <v>30032.199999999997</v>
      </c>
      <c r="E44" s="829">
        <f>SUM(E18:E43)</f>
        <v>30364</v>
      </c>
      <c r="F44" s="829">
        <v>36384</v>
      </c>
      <c r="G44" s="829">
        <f>SUM(G18:G43)</f>
        <v>36384</v>
      </c>
      <c r="H44" s="606">
        <f t="shared" si="12"/>
        <v>0.19826109866947703</v>
      </c>
      <c r="I44" s="829">
        <f t="shared" ref="I44:O44" si="17">SUM(I18:I43)</f>
        <v>9096</v>
      </c>
      <c r="J44" s="829">
        <f t="shared" si="17"/>
        <v>9096</v>
      </c>
      <c r="K44" s="829">
        <f t="shared" si="17"/>
        <v>9096</v>
      </c>
      <c r="L44" s="829">
        <f t="shared" si="17"/>
        <v>9096</v>
      </c>
      <c r="M44" s="829">
        <f t="shared" si="17"/>
        <v>189.5</v>
      </c>
      <c r="N44" s="829">
        <f t="shared" si="17"/>
        <v>0</v>
      </c>
      <c r="O44" s="829">
        <f t="shared" si="17"/>
        <v>0</v>
      </c>
      <c r="P44" s="811">
        <f t="shared" si="16"/>
        <v>0</v>
      </c>
      <c r="Q44" s="817"/>
      <c r="R44" s="817"/>
      <c r="S44" s="507"/>
    </row>
    <row r="45" spans="1:19" s="497" customFormat="1" x14ac:dyDescent="0.2">
      <c r="A45" s="496"/>
      <c r="B45" s="496"/>
      <c r="C45" s="646"/>
      <c r="D45" s="830"/>
      <c r="E45" s="830"/>
      <c r="F45" s="830"/>
      <c r="G45" s="833"/>
      <c r="H45" s="607" t="str">
        <f t="shared" si="12"/>
        <v/>
      </c>
      <c r="I45" s="841"/>
      <c r="J45" s="841"/>
      <c r="K45" s="841"/>
      <c r="L45" s="841"/>
      <c r="M45" s="841"/>
      <c r="N45" s="842"/>
      <c r="O45" s="841"/>
      <c r="P45" s="812"/>
      <c r="Q45" s="817"/>
      <c r="R45" s="817"/>
    </row>
    <row r="46" spans="1:19" s="497" customFormat="1" x14ac:dyDescent="0.2">
      <c r="A46" s="496"/>
      <c r="B46" s="496"/>
      <c r="C46" s="644" t="s">
        <v>11</v>
      </c>
      <c r="D46" s="835"/>
      <c r="E46" s="835"/>
      <c r="F46" s="835"/>
      <c r="G46" s="833"/>
      <c r="H46" s="607" t="str">
        <f t="shared" si="12"/>
        <v/>
      </c>
      <c r="I46" s="833">
        <f>+G46/4</f>
        <v>0</v>
      </c>
      <c r="J46" s="833">
        <f t="shared" ref="J46:L58" si="18">+$G46/4</f>
        <v>0</v>
      </c>
      <c r="K46" s="833">
        <f t="shared" si="18"/>
        <v>0</v>
      </c>
      <c r="L46" s="833">
        <f t="shared" si="18"/>
        <v>0</v>
      </c>
      <c r="M46" s="833">
        <f t="shared" ref="M46:M58" si="19">IF(G46=0,0,G46/$G$5/12)</f>
        <v>0</v>
      </c>
      <c r="N46" s="840"/>
      <c r="O46" s="833">
        <f t="shared" ref="O46:O58" si="20">IF(N46=0,0,N46/$G$4/12)</f>
        <v>0</v>
      </c>
      <c r="P46" s="810">
        <f t="shared" ref="P46:P59" si="21">IF(N46=0,0,(G46/N46))</f>
        <v>0</v>
      </c>
      <c r="Q46" s="817"/>
      <c r="R46" s="817"/>
    </row>
    <row r="47" spans="1:19" s="497" customFormat="1" ht="31.5" x14ac:dyDescent="0.25">
      <c r="A47" s="509">
        <v>4410024</v>
      </c>
      <c r="B47" s="301">
        <v>4430103</v>
      </c>
      <c r="C47" s="646" t="s">
        <v>52</v>
      </c>
      <c r="D47" s="832">
        <v>187163.86</v>
      </c>
      <c r="E47" s="832">
        <v>55995</v>
      </c>
      <c r="F47" s="832">
        <v>221448</v>
      </c>
      <c r="G47" s="833">
        <f>'Line Items explanations'!H173</f>
        <v>221448</v>
      </c>
      <c r="H47" s="607">
        <f t="shared" si="12"/>
        <v>2.9547816769354407</v>
      </c>
      <c r="I47" s="833">
        <f>+G47/4</f>
        <v>55362</v>
      </c>
      <c r="J47" s="833">
        <f t="shared" si="18"/>
        <v>55362</v>
      </c>
      <c r="K47" s="833">
        <f t="shared" si="18"/>
        <v>55362</v>
      </c>
      <c r="L47" s="833">
        <f t="shared" si="18"/>
        <v>55362</v>
      </c>
      <c r="M47" s="833">
        <f t="shared" si="19"/>
        <v>1153.375</v>
      </c>
      <c r="N47" s="840"/>
      <c r="O47" s="833">
        <f t="shared" si="20"/>
        <v>0</v>
      </c>
      <c r="P47" s="810">
        <f t="shared" si="21"/>
        <v>0</v>
      </c>
      <c r="Q47" s="817" t="s">
        <v>727</v>
      </c>
      <c r="R47" s="817"/>
    </row>
    <row r="48" spans="1:19" s="497" customFormat="1" x14ac:dyDescent="0.25">
      <c r="A48" s="496">
        <v>4420001</v>
      </c>
      <c r="B48" s="301">
        <v>4430013</v>
      </c>
      <c r="C48" s="646" t="s">
        <v>16</v>
      </c>
      <c r="D48" s="832">
        <v>2590</v>
      </c>
      <c r="E48" s="832">
        <v>700</v>
      </c>
      <c r="F48" s="832">
        <v>720</v>
      </c>
      <c r="G48" s="833">
        <f>'Line Items explanations'!H178</f>
        <v>720</v>
      </c>
      <c r="H48" s="607">
        <f t="shared" si="12"/>
        <v>2.8571428571428571E-2</v>
      </c>
      <c r="I48" s="833">
        <f>+G48/4</f>
        <v>180</v>
      </c>
      <c r="J48" s="833">
        <f t="shared" si="18"/>
        <v>180</v>
      </c>
      <c r="K48" s="833">
        <f t="shared" si="18"/>
        <v>180</v>
      </c>
      <c r="L48" s="833">
        <f t="shared" si="18"/>
        <v>180</v>
      </c>
      <c r="M48" s="833">
        <f t="shared" si="19"/>
        <v>3.75</v>
      </c>
      <c r="N48" s="840"/>
      <c r="O48" s="833">
        <f t="shared" si="20"/>
        <v>0</v>
      </c>
      <c r="P48" s="810">
        <f t="shared" si="21"/>
        <v>0</v>
      </c>
      <c r="Q48" s="817"/>
      <c r="R48" s="817"/>
    </row>
    <row r="49" spans="1:19" s="497" customFormat="1" x14ac:dyDescent="0.25">
      <c r="A49" s="496">
        <v>4420001</v>
      </c>
      <c r="B49" s="301">
        <v>4410024</v>
      </c>
      <c r="C49" s="646" t="s">
        <v>12</v>
      </c>
      <c r="D49" s="832">
        <v>7014.08</v>
      </c>
      <c r="E49" s="832">
        <v>7070</v>
      </c>
      <c r="F49" s="832">
        <v>0</v>
      </c>
      <c r="G49" s="833">
        <f>'Compensation Details'!F43</f>
        <v>0</v>
      </c>
      <c r="H49" s="607" t="str">
        <f t="shared" si="12"/>
        <v/>
      </c>
      <c r="I49" s="833">
        <f>+G49/4</f>
        <v>0</v>
      </c>
      <c r="J49" s="833">
        <f t="shared" si="18"/>
        <v>0</v>
      </c>
      <c r="K49" s="833">
        <f t="shared" si="18"/>
        <v>0</v>
      </c>
      <c r="L49" s="833">
        <f t="shared" si="18"/>
        <v>0</v>
      </c>
      <c r="M49" s="833">
        <f t="shared" si="19"/>
        <v>0</v>
      </c>
      <c r="N49" s="840"/>
      <c r="O49" s="833">
        <f t="shared" si="20"/>
        <v>0</v>
      </c>
      <c r="P49" s="810">
        <f t="shared" si="21"/>
        <v>0</v>
      </c>
      <c r="Q49" s="817"/>
      <c r="R49" s="817"/>
    </row>
    <row r="50" spans="1:19" s="497" customFormat="1" x14ac:dyDescent="0.25">
      <c r="A50" s="496">
        <v>4430008</v>
      </c>
      <c r="B50" s="301">
        <v>4410024</v>
      </c>
      <c r="C50" s="646" t="s">
        <v>13</v>
      </c>
      <c r="D50" s="832"/>
      <c r="E50" s="832"/>
      <c r="F50" s="832">
        <v>0</v>
      </c>
      <c r="G50" s="833">
        <f>'Line Items explanations'!H188</f>
        <v>0</v>
      </c>
      <c r="H50" s="607" t="str">
        <f t="shared" si="12"/>
        <v/>
      </c>
      <c r="I50" s="833">
        <f>+G50/4</f>
        <v>0</v>
      </c>
      <c r="J50" s="833">
        <f t="shared" si="18"/>
        <v>0</v>
      </c>
      <c r="K50" s="833">
        <f t="shared" si="18"/>
        <v>0</v>
      </c>
      <c r="L50" s="833">
        <f t="shared" si="18"/>
        <v>0</v>
      </c>
      <c r="M50" s="833">
        <f t="shared" si="19"/>
        <v>0</v>
      </c>
      <c r="N50" s="840"/>
      <c r="O50" s="833">
        <f t="shared" si="20"/>
        <v>0</v>
      </c>
      <c r="P50" s="810">
        <f t="shared" si="21"/>
        <v>0</v>
      </c>
      <c r="Q50" s="817"/>
      <c r="R50" s="817"/>
    </row>
    <row r="51" spans="1:19" s="497" customFormat="1" x14ac:dyDescent="0.25">
      <c r="A51" s="496">
        <v>4430013</v>
      </c>
      <c r="B51" s="301">
        <v>4430022.0199999996</v>
      </c>
      <c r="C51" s="642" t="s">
        <v>108</v>
      </c>
      <c r="D51" s="832"/>
      <c r="E51" s="832"/>
      <c r="F51" s="832">
        <v>0</v>
      </c>
      <c r="G51" s="833">
        <f>'Line Items explanations'!H193</f>
        <v>0</v>
      </c>
      <c r="H51" s="607" t="str">
        <f t="shared" si="12"/>
        <v/>
      </c>
      <c r="I51" s="833">
        <f>+$G51/4</f>
        <v>0</v>
      </c>
      <c r="J51" s="833">
        <f t="shared" si="18"/>
        <v>0</v>
      </c>
      <c r="K51" s="833">
        <f t="shared" si="18"/>
        <v>0</v>
      </c>
      <c r="L51" s="833">
        <f t="shared" si="18"/>
        <v>0</v>
      </c>
      <c r="M51" s="833">
        <f t="shared" si="19"/>
        <v>0</v>
      </c>
      <c r="N51" s="840"/>
      <c r="O51" s="833">
        <f t="shared" si="20"/>
        <v>0</v>
      </c>
      <c r="P51" s="810">
        <f t="shared" si="21"/>
        <v>0</v>
      </c>
      <c r="Q51" s="817"/>
      <c r="R51" s="817"/>
    </row>
    <row r="52" spans="1:19" s="497" customFormat="1" x14ac:dyDescent="0.25">
      <c r="A52" s="496">
        <v>4430003</v>
      </c>
      <c r="B52" s="301">
        <v>4420001.0199999996</v>
      </c>
      <c r="C52" s="646" t="s">
        <v>14</v>
      </c>
      <c r="D52" s="832"/>
      <c r="E52" s="832"/>
      <c r="F52" s="832">
        <v>0</v>
      </c>
      <c r="G52" s="833">
        <f>'Line Items explanations'!H198</f>
        <v>0</v>
      </c>
      <c r="H52" s="607" t="str">
        <f t="shared" si="12"/>
        <v/>
      </c>
      <c r="I52" s="833">
        <f>+G52/4</f>
        <v>0</v>
      </c>
      <c r="J52" s="833">
        <f t="shared" si="18"/>
        <v>0</v>
      </c>
      <c r="K52" s="833">
        <f t="shared" si="18"/>
        <v>0</v>
      </c>
      <c r="L52" s="833">
        <f t="shared" si="18"/>
        <v>0</v>
      </c>
      <c r="M52" s="833">
        <f t="shared" si="19"/>
        <v>0</v>
      </c>
      <c r="N52" s="840"/>
      <c r="O52" s="833">
        <f t="shared" si="20"/>
        <v>0</v>
      </c>
      <c r="P52" s="810">
        <f t="shared" si="21"/>
        <v>0</v>
      </c>
      <c r="Q52" s="817"/>
      <c r="R52" s="817"/>
    </row>
    <row r="53" spans="1:19" s="497" customFormat="1" x14ac:dyDescent="0.25">
      <c r="A53" s="496">
        <v>4430022</v>
      </c>
      <c r="B53" s="301">
        <v>4410029.01</v>
      </c>
      <c r="C53" s="646" t="s">
        <v>111</v>
      </c>
      <c r="D53" s="832"/>
      <c r="E53" s="832"/>
      <c r="F53" s="832">
        <v>0</v>
      </c>
      <c r="G53" s="833">
        <f>'Line Items explanations'!H203</f>
        <v>0</v>
      </c>
      <c r="H53" s="607" t="str">
        <f t="shared" si="12"/>
        <v/>
      </c>
      <c r="I53" s="833">
        <f>+G53/4</f>
        <v>0</v>
      </c>
      <c r="J53" s="833">
        <f t="shared" si="18"/>
        <v>0</v>
      </c>
      <c r="K53" s="833">
        <f t="shared" si="18"/>
        <v>0</v>
      </c>
      <c r="L53" s="833">
        <f t="shared" si="18"/>
        <v>0</v>
      </c>
      <c r="M53" s="833">
        <f t="shared" si="19"/>
        <v>0</v>
      </c>
      <c r="N53" s="840"/>
      <c r="O53" s="833">
        <f t="shared" si="20"/>
        <v>0</v>
      </c>
      <c r="P53" s="810">
        <f t="shared" si="21"/>
        <v>0</v>
      </c>
      <c r="Q53" s="817"/>
      <c r="R53" s="817"/>
    </row>
    <row r="54" spans="1:19" s="497" customFormat="1" x14ac:dyDescent="0.25">
      <c r="A54" s="496">
        <v>4430103</v>
      </c>
      <c r="B54" s="301">
        <v>4430022.03</v>
      </c>
      <c r="C54" s="642" t="s">
        <v>113</v>
      </c>
      <c r="D54" s="832"/>
      <c r="E54" s="832">
        <v>770</v>
      </c>
      <c r="F54" s="832">
        <v>0</v>
      </c>
      <c r="G54" s="833">
        <f>'Line Items explanations'!H208</f>
        <v>0</v>
      </c>
      <c r="H54" s="607" t="str">
        <f t="shared" si="12"/>
        <v/>
      </c>
      <c r="I54" s="833">
        <f>+$G54/4</f>
        <v>0</v>
      </c>
      <c r="J54" s="833">
        <f t="shared" si="18"/>
        <v>0</v>
      </c>
      <c r="K54" s="833">
        <f t="shared" si="18"/>
        <v>0</v>
      </c>
      <c r="L54" s="833">
        <f t="shared" si="18"/>
        <v>0</v>
      </c>
      <c r="M54" s="833">
        <f t="shared" si="19"/>
        <v>0</v>
      </c>
      <c r="N54" s="840"/>
      <c r="O54" s="833">
        <f t="shared" si="20"/>
        <v>0</v>
      </c>
      <c r="P54" s="810">
        <f t="shared" si="21"/>
        <v>0</v>
      </c>
      <c r="Q54" s="817"/>
      <c r="R54" s="817"/>
    </row>
    <row r="55" spans="1:19" s="497" customFormat="1" x14ac:dyDescent="0.25">
      <c r="A55" s="496">
        <v>4410029</v>
      </c>
      <c r="B55" s="301">
        <v>4430022.01</v>
      </c>
      <c r="C55" s="646" t="s">
        <v>18</v>
      </c>
      <c r="D55" s="832"/>
      <c r="E55" s="832"/>
      <c r="F55" s="832">
        <v>0</v>
      </c>
      <c r="G55" s="833">
        <f>'Line Items explanations'!H213</f>
        <v>0</v>
      </c>
      <c r="H55" s="607" t="str">
        <f t="shared" si="12"/>
        <v/>
      </c>
      <c r="I55" s="833">
        <f>+G55/4</f>
        <v>0</v>
      </c>
      <c r="J55" s="833">
        <f t="shared" si="18"/>
        <v>0</v>
      </c>
      <c r="K55" s="833">
        <f t="shared" si="18"/>
        <v>0</v>
      </c>
      <c r="L55" s="833">
        <f t="shared" si="18"/>
        <v>0</v>
      </c>
      <c r="M55" s="833">
        <f t="shared" si="19"/>
        <v>0</v>
      </c>
      <c r="N55" s="840"/>
      <c r="O55" s="833">
        <f t="shared" si="20"/>
        <v>0</v>
      </c>
      <c r="P55" s="810">
        <f t="shared" si="21"/>
        <v>0</v>
      </c>
      <c r="Q55" s="817"/>
      <c r="R55" s="817"/>
    </row>
    <row r="56" spans="1:19" s="497" customFormat="1" x14ac:dyDescent="0.25">
      <c r="A56" s="496">
        <v>4430022</v>
      </c>
      <c r="B56" s="301">
        <v>4430003</v>
      </c>
      <c r="C56" s="646" t="s">
        <v>641</v>
      </c>
      <c r="D56" s="832"/>
      <c r="E56" s="832"/>
      <c r="F56" s="832">
        <v>0</v>
      </c>
      <c r="G56" s="833">
        <f>'Line Items explanations'!H218</f>
        <v>0</v>
      </c>
      <c r="H56" s="607" t="str">
        <f t="shared" si="12"/>
        <v/>
      </c>
      <c r="I56" s="833">
        <f>+G56/4</f>
        <v>0</v>
      </c>
      <c r="J56" s="833">
        <f t="shared" si="18"/>
        <v>0</v>
      </c>
      <c r="K56" s="833">
        <f t="shared" si="18"/>
        <v>0</v>
      </c>
      <c r="L56" s="833">
        <f t="shared" si="18"/>
        <v>0</v>
      </c>
      <c r="M56" s="833">
        <f t="shared" si="19"/>
        <v>0</v>
      </c>
      <c r="N56" s="840"/>
      <c r="O56" s="833">
        <f t="shared" si="20"/>
        <v>0</v>
      </c>
      <c r="P56" s="810">
        <f t="shared" si="21"/>
        <v>0</v>
      </c>
      <c r="Q56" s="817"/>
      <c r="R56" s="817"/>
    </row>
    <row r="57" spans="1:19" s="497" customFormat="1" x14ac:dyDescent="0.25">
      <c r="A57" s="496">
        <v>4430022</v>
      </c>
      <c r="B57" s="301">
        <v>4430008</v>
      </c>
      <c r="C57" s="646" t="s">
        <v>15</v>
      </c>
      <c r="D57" s="832"/>
      <c r="E57" s="832"/>
      <c r="F57" s="832">
        <v>0</v>
      </c>
      <c r="G57" s="833">
        <f>'Line Items explanations'!H223</f>
        <v>0</v>
      </c>
      <c r="H57" s="607" t="str">
        <f t="shared" si="12"/>
        <v/>
      </c>
      <c r="I57" s="833">
        <f>+G57/4</f>
        <v>0</v>
      </c>
      <c r="J57" s="833">
        <f t="shared" si="18"/>
        <v>0</v>
      </c>
      <c r="K57" s="833">
        <f t="shared" si="18"/>
        <v>0</v>
      </c>
      <c r="L57" s="833">
        <f t="shared" si="18"/>
        <v>0</v>
      </c>
      <c r="M57" s="833">
        <f t="shared" si="19"/>
        <v>0</v>
      </c>
      <c r="N57" s="840"/>
      <c r="O57" s="833">
        <f t="shared" si="20"/>
        <v>0</v>
      </c>
      <c r="P57" s="810">
        <f t="shared" si="21"/>
        <v>0</v>
      </c>
      <c r="Q57" s="817"/>
      <c r="R57" s="817"/>
    </row>
    <row r="58" spans="1:19" s="497" customFormat="1" x14ac:dyDescent="0.2">
      <c r="A58" s="496"/>
      <c r="B58" s="496"/>
      <c r="C58" s="642" t="s">
        <v>53</v>
      </c>
      <c r="D58" s="832"/>
      <c r="E58" s="832"/>
      <c r="F58" s="832">
        <v>0</v>
      </c>
      <c r="G58" s="833">
        <f>'Line Items explanations'!H228</f>
        <v>0</v>
      </c>
      <c r="H58" s="607" t="str">
        <f t="shared" si="12"/>
        <v/>
      </c>
      <c r="I58" s="833">
        <f>+$G58/4</f>
        <v>0</v>
      </c>
      <c r="J58" s="833">
        <f t="shared" si="18"/>
        <v>0</v>
      </c>
      <c r="K58" s="833">
        <f t="shared" si="18"/>
        <v>0</v>
      </c>
      <c r="L58" s="833">
        <f t="shared" si="18"/>
        <v>0</v>
      </c>
      <c r="M58" s="833">
        <f t="shared" si="19"/>
        <v>0</v>
      </c>
      <c r="N58" s="840"/>
      <c r="O58" s="833">
        <f t="shared" si="20"/>
        <v>0</v>
      </c>
      <c r="P58" s="810">
        <f t="shared" si="21"/>
        <v>0</v>
      </c>
      <c r="Q58" s="817"/>
      <c r="R58" s="817"/>
    </row>
    <row r="59" spans="1:19" s="508" customFormat="1" x14ac:dyDescent="0.2">
      <c r="A59" s="503" t="s">
        <v>97</v>
      </c>
      <c r="B59" s="503"/>
      <c r="C59" s="609" t="s">
        <v>19</v>
      </c>
      <c r="D59" s="829">
        <f>SUM(D47:D58)</f>
        <v>196767.93999999997</v>
      </c>
      <c r="E59" s="829">
        <f>SUM(E47:E58)</f>
        <v>64535</v>
      </c>
      <c r="F59" s="829">
        <v>222168</v>
      </c>
      <c r="G59" s="829">
        <f>SUM(G47:G58)</f>
        <v>222168</v>
      </c>
      <c r="H59" s="606">
        <f t="shared" si="12"/>
        <v>2.4425970403656931</v>
      </c>
      <c r="I59" s="829">
        <f t="shared" ref="I59:O59" si="22">SUM(I47:I58)</f>
        <v>55542</v>
      </c>
      <c r="J59" s="829">
        <f t="shared" si="22"/>
        <v>55542</v>
      </c>
      <c r="K59" s="829">
        <f t="shared" si="22"/>
        <v>55542</v>
      </c>
      <c r="L59" s="829">
        <f t="shared" si="22"/>
        <v>55542</v>
      </c>
      <c r="M59" s="829">
        <f t="shared" si="22"/>
        <v>1157.125</v>
      </c>
      <c r="N59" s="829">
        <f t="shared" si="22"/>
        <v>0</v>
      </c>
      <c r="O59" s="829">
        <f t="shared" si="22"/>
        <v>0</v>
      </c>
      <c r="P59" s="811">
        <f t="shared" si="21"/>
        <v>0</v>
      </c>
      <c r="Q59" s="817"/>
      <c r="R59" s="817"/>
      <c r="S59" s="507"/>
    </row>
    <row r="60" spans="1:19" s="497" customFormat="1" x14ac:dyDescent="0.2">
      <c r="A60" s="496"/>
      <c r="B60" s="496"/>
      <c r="C60" s="644"/>
      <c r="D60" s="835"/>
      <c r="E60" s="835"/>
      <c r="F60" s="835"/>
      <c r="G60" s="833"/>
      <c r="H60" s="607" t="str">
        <f t="shared" si="12"/>
        <v/>
      </c>
      <c r="I60" s="841"/>
      <c r="J60" s="841"/>
      <c r="K60" s="841"/>
      <c r="L60" s="841"/>
      <c r="M60" s="841"/>
      <c r="N60" s="842"/>
      <c r="O60" s="841"/>
      <c r="P60" s="813"/>
      <c r="Q60" s="817"/>
      <c r="R60" s="817"/>
    </row>
    <row r="61" spans="1:19" s="497" customFormat="1" x14ac:dyDescent="0.2">
      <c r="A61" s="496"/>
      <c r="B61" s="496"/>
      <c r="C61" s="644" t="s">
        <v>20</v>
      </c>
      <c r="D61" s="835"/>
      <c r="E61" s="835"/>
      <c r="F61" s="835"/>
      <c r="G61" s="833"/>
      <c r="H61" s="607" t="str">
        <f t="shared" si="12"/>
        <v/>
      </c>
      <c r="I61" s="841"/>
      <c r="J61" s="841"/>
      <c r="K61" s="841"/>
      <c r="L61" s="841"/>
      <c r="M61" s="841"/>
      <c r="N61" s="842"/>
      <c r="O61" s="841"/>
      <c r="P61" s="813"/>
      <c r="Q61" s="817"/>
      <c r="R61" s="817"/>
    </row>
    <row r="62" spans="1:19" s="497" customFormat="1" x14ac:dyDescent="0.25">
      <c r="A62" s="496">
        <v>4410065</v>
      </c>
      <c r="B62" s="301">
        <v>4420014</v>
      </c>
      <c r="C62" s="646" t="s">
        <v>76</v>
      </c>
      <c r="D62" s="832"/>
      <c r="E62" s="832">
        <f>290+1239+910</f>
        <v>2439</v>
      </c>
      <c r="F62" s="832">
        <v>600</v>
      </c>
      <c r="G62" s="833">
        <f>'Line Items explanations'!H238</f>
        <v>600</v>
      </c>
      <c r="H62" s="607">
        <f t="shared" si="12"/>
        <v>-0.75399753997539976</v>
      </c>
      <c r="I62" s="833">
        <f>+G62/4</f>
        <v>150</v>
      </c>
      <c r="J62" s="833">
        <f t="shared" ref="J62:L87" si="23">+$G62/4</f>
        <v>150</v>
      </c>
      <c r="K62" s="833">
        <f t="shared" si="23"/>
        <v>150</v>
      </c>
      <c r="L62" s="833">
        <f t="shared" si="23"/>
        <v>150</v>
      </c>
      <c r="M62" s="833">
        <f t="shared" ref="M62:M87" si="24">IF(G62=0,0,G62/$G$5/12)</f>
        <v>3.125</v>
      </c>
      <c r="N62" s="840"/>
      <c r="O62" s="833">
        <f t="shared" ref="O62:O87" si="25">IF(N62=0,0,N62/$G$4/12)</f>
        <v>0</v>
      </c>
      <c r="P62" s="810">
        <f t="shared" ref="P62:P88" si="26">IF(N62=0,0,(G62/N62))</f>
        <v>0</v>
      </c>
      <c r="Q62" s="817"/>
      <c r="R62" s="817"/>
    </row>
    <row r="63" spans="1:19" s="497" customFormat="1" x14ac:dyDescent="0.25">
      <c r="A63" s="496">
        <v>4420001</v>
      </c>
      <c r="B63" s="301">
        <v>4430022.04</v>
      </c>
      <c r="C63" s="646" t="s">
        <v>23</v>
      </c>
      <c r="D63" s="832"/>
      <c r="E63" s="832"/>
      <c r="F63" s="832">
        <v>0</v>
      </c>
      <c r="G63" s="833">
        <f>'Line Items explanations'!H243</f>
        <v>0</v>
      </c>
      <c r="H63" s="607" t="str">
        <f t="shared" si="12"/>
        <v/>
      </c>
      <c r="I63" s="833">
        <f>+G63/4</f>
        <v>0</v>
      </c>
      <c r="J63" s="833">
        <f t="shared" si="23"/>
        <v>0</v>
      </c>
      <c r="K63" s="833">
        <f t="shared" si="23"/>
        <v>0</v>
      </c>
      <c r="L63" s="833">
        <f t="shared" si="23"/>
        <v>0</v>
      </c>
      <c r="M63" s="833">
        <f t="shared" si="24"/>
        <v>0</v>
      </c>
      <c r="N63" s="840"/>
      <c r="O63" s="833">
        <f t="shared" si="25"/>
        <v>0</v>
      </c>
      <c r="P63" s="810">
        <f t="shared" si="26"/>
        <v>0</v>
      </c>
      <c r="Q63" s="817"/>
      <c r="R63" s="817"/>
    </row>
    <row r="64" spans="1:19" s="497" customFormat="1" ht="31.5" x14ac:dyDescent="0.25">
      <c r="A64" s="496">
        <v>4420001</v>
      </c>
      <c r="B64" s="301">
        <v>4430093</v>
      </c>
      <c r="C64" s="646" t="s">
        <v>24</v>
      </c>
      <c r="D64" s="832"/>
      <c r="E64" s="832"/>
      <c r="F64" s="832">
        <v>2400</v>
      </c>
      <c r="G64" s="833">
        <f>'Line Items explanations'!H249</f>
        <v>2400</v>
      </c>
      <c r="H64" s="607">
        <f t="shared" si="12"/>
        <v>1</v>
      </c>
      <c r="I64" s="833">
        <f>+G64/4</f>
        <v>600</v>
      </c>
      <c r="J64" s="833">
        <f t="shared" si="23"/>
        <v>600</v>
      </c>
      <c r="K64" s="833">
        <f t="shared" si="23"/>
        <v>600</v>
      </c>
      <c r="L64" s="833">
        <f t="shared" si="23"/>
        <v>600</v>
      </c>
      <c r="M64" s="833">
        <f t="shared" si="24"/>
        <v>12.5</v>
      </c>
      <c r="N64" s="840"/>
      <c r="O64" s="833">
        <f t="shared" si="25"/>
        <v>0</v>
      </c>
      <c r="P64" s="810">
        <f t="shared" si="26"/>
        <v>0</v>
      </c>
      <c r="Q64" s="817" t="s">
        <v>728</v>
      </c>
      <c r="R64" s="817"/>
    </row>
    <row r="65" spans="1:18" s="497" customFormat="1" x14ac:dyDescent="0.25">
      <c r="A65" s="496">
        <v>4420013</v>
      </c>
      <c r="B65" s="301">
        <v>4430017</v>
      </c>
      <c r="C65" s="646" t="s">
        <v>25</v>
      </c>
      <c r="D65" s="832"/>
      <c r="E65" s="832"/>
      <c r="F65" s="832">
        <v>0</v>
      </c>
      <c r="G65" s="833">
        <f>'Line Items explanations'!H259</f>
        <v>0</v>
      </c>
      <c r="H65" s="607" t="str">
        <f t="shared" ref="H65:H93" si="27">IF(G65=0,"",IF(E65=0,100%,(G65-E65)/E65))</f>
        <v/>
      </c>
      <c r="I65" s="833">
        <f>+G65/4</f>
        <v>0</v>
      </c>
      <c r="J65" s="833">
        <f t="shared" si="23"/>
        <v>0</v>
      </c>
      <c r="K65" s="833">
        <f t="shared" si="23"/>
        <v>0</v>
      </c>
      <c r="L65" s="833">
        <f t="shared" si="23"/>
        <v>0</v>
      </c>
      <c r="M65" s="833">
        <f t="shared" si="24"/>
        <v>0</v>
      </c>
      <c r="N65" s="840"/>
      <c r="O65" s="833">
        <f t="shared" si="25"/>
        <v>0</v>
      </c>
      <c r="P65" s="810">
        <f t="shared" si="26"/>
        <v>0</v>
      </c>
      <c r="Q65" s="817"/>
      <c r="R65" s="817"/>
    </row>
    <row r="66" spans="1:18" s="497" customFormat="1" x14ac:dyDescent="0.25">
      <c r="A66" s="496">
        <v>4430022</v>
      </c>
      <c r="B66" s="301">
        <v>4430001</v>
      </c>
      <c r="C66" s="642" t="s">
        <v>112</v>
      </c>
      <c r="D66" s="832"/>
      <c r="E66" s="832"/>
      <c r="F66" s="832">
        <v>0</v>
      </c>
      <c r="G66" s="833">
        <f>'Line Items explanations'!H264</f>
        <v>0</v>
      </c>
      <c r="H66" s="607" t="str">
        <f t="shared" si="27"/>
        <v/>
      </c>
      <c r="I66" s="833">
        <f>+$G66/4</f>
        <v>0</v>
      </c>
      <c r="J66" s="833">
        <f t="shared" si="23"/>
        <v>0</v>
      </c>
      <c r="K66" s="833">
        <f t="shared" si="23"/>
        <v>0</v>
      </c>
      <c r="L66" s="833">
        <f t="shared" si="23"/>
        <v>0</v>
      </c>
      <c r="M66" s="833">
        <f t="shared" si="24"/>
        <v>0</v>
      </c>
      <c r="N66" s="840"/>
      <c r="O66" s="833">
        <f t="shared" si="25"/>
        <v>0</v>
      </c>
      <c r="P66" s="810">
        <f t="shared" si="26"/>
        <v>0</v>
      </c>
      <c r="Q66" s="817"/>
      <c r="R66" s="817"/>
    </row>
    <row r="67" spans="1:18" s="497" customFormat="1" x14ac:dyDescent="0.25">
      <c r="A67" s="496">
        <v>4430093</v>
      </c>
      <c r="B67" s="301">
        <v>4430023.0199999996</v>
      </c>
      <c r="C67" s="646" t="s">
        <v>106</v>
      </c>
      <c r="D67" s="832"/>
      <c r="E67" s="832"/>
      <c r="F67" s="832">
        <v>0</v>
      </c>
      <c r="G67" s="833">
        <f>'Line Items explanations'!H269</f>
        <v>0</v>
      </c>
      <c r="H67" s="607" t="str">
        <f t="shared" si="27"/>
        <v/>
      </c>
      <c r="I67" s="833">
        <f t="shared" ref="I67:I73" si="28">+G67/4</f>
        <v>0</v>
      </c>
      <c r="J67" s="833">
        <f t="shared" si="23"/>
        <v>0</v>
      </c>
      <c r="K67" s="833">
        <f t="shared" si="23"/>
        <v>0</v>
      </c>
      <c r="L67" s="833">
        <f t="shared" si="23"/>
        <v>0</v>
      </c>
      <c r="M67" s="833">
        <f t="shared" si="24"/>
        <v>0</v>
      </c>
      <c r="N67" s="840"/>
      <c r="O67" s="833">
        <f t="shared" si="25"/>
        <v>0</v>
      </c>
      <c r="P67" s="810">
        <f t="shared" si="26"/>
        <v>0</v>
      </c>
      <c r="Q67" s="817"/>
      <c r="R67" s="817"/>
    </row>
    <row r="68" spans="1:18" s="497" customFormat="1" x14ac:dyDescent="0.25">
      <c r="A68" s="496">
        <v>4430017</v>
      </c>
      <c r="B68" s="301">
        <v>4420012</v>
      </c>
      <c r="C68" s="646" t="s">
        <v>34</v>
      </c>
      <c r="D68" s="832"/>
      <c r="E68" s="832"/>
      <c r="F68" s="832">
        <v>0</v>
      </c>
      <c r="G68" s="833">
        <f>'Line Items explanations'!H274</f>
        <v>0</v>
      </c>
      <c r="H68" s="607" t="str">
        <f t="shared" si="27"/>
        <v/>
      </c>
      <c r="I68" s="833">
        <f t="shared" si="28"/>
        <v>0</v>
      </c>
      <c r="J68" s="833">
        <f t="shared" si="23"/>
        <v>0</v>
      </c>
      <c r="K68" s="833">
        <f t="shared" si="23"/>
        <v>0</v>
      </c>
      <c r="L68" s="833">
        <f t="shared" si="23"/>
        <v>0</v>
      </c>
      <c r="M68" s="833">
        <f t="shared" si="24"/>
        <v>0</v>
      </c>
      <c r="N68" s="840"/>
      <c r="O68" s="833">
        <f t="shared" si="25"/>
        <v>0</v>
      </c>
      <c r="P68" s="810">
        <f t="shared" si="26"/>
        <v>0</v>
      </c>
      <c r="Q68" s="817"/>
      <c r="R68" s="817"/>
    </row>
    <row r="69" spans="1:18" s="497" customFormat="1" x14ac:dyDescent="0.25">
      <c r="A69" s="496">
        <v>4430011</v>
      </c>
      <c r="B69" s="301">
        <v>4420001.04</v>
      </c>
      <c r="C69" s="646" t="s">
        <v>51</v>
      </c>
      <c r="D69" s="832"/>
      <c r="E69" s="832"/>
      <c r="F69" s="832">
        <v>0</v>
      </c>
      <c r="G69" s="833">
        <f>'Line Items explanations'!H279</f>
        <v>0</v>
      </c>
      <c r="H69" s="607" t="str">
        <f t="shared" si="27"/>
        <v/>
      </c>
      <c r="I69" s="833">
        <f t="shared" si="28"/>
        <v>0</v>
      </c>
      <c r="J69" s="833">
        <f t="shared" si="23"/>
        <v>0</v>
      </c>
      <c r="K69" s="833">
        <f t="shared" si="23"/>
        <v>0</v>
      </c>
      <c r="L69" s="833">
        <f t="shared" si="23"/>
        <v>0</v>
      </c>
      <c r="M69" s="833">
        <f t="shared" si="24"/>
        <v>0</v>
      </c>
      <c r="N69" s="840"/>
      <c r="O69" s="833">
        <f t="shared" si="25"/>
        <v>0</v>
      </c>
      <c r="P69" s="810">
        <f t="shared" si="26"/>
        <v>0</v>
      </c>
      <c r="Q69" s="817"/>
      <c r="R69" s="817"/>
    </row>
    <row r="70" spans="1:18" s="497" customFormat="1" x14ac:dyDescent="0.25">
      <c r="A70" s="496">
        <v>4430011</v>
      </c>
      <c r="B70" s="301">
        <v>4430012</v>
      </c>
      <c r="C70" s="646" t="s">
        <v>30</v>
      </c>
      <c r="D70" s="832"/>
      <c r="E70" s="832"/>
      <c r="F70" s="832">
        <v>0</v>
      </c>
      <c r="G70" s="833">
        <f>'Line Items explanations'!H284</f>
        <v>0</v>
      </c>
      <c r="H70" s="607" t="str">
        <f t="shared" si="27"/>
        <v/>
      </c>
      <c r="I70" s="833">
        <f t="shared" si="28"/>
        <v>0</v>
      </c>
      <c r="J70" s="833">
        <f t="shared" si="23"/>
        <v>0</v>
      </c>
      <c r="K70" s="833">
        <f t="shared" si="23"/>
        <v>0</v>
      </c>
      <c r="L70" s="833">
        <f t="shared" si="23"/>
        <v>0</v>
      </c>
      <c r="M70" s="833">
        <f t="shared" si="24"/>
        <v>0</v>
      </c>
      <c r="N70" s="840"/>
      <c r="O70" s="833">
        <f t="shared" si="25"/>
        <v>0</v>
      </c>
      <c r="P70" s="810">
        <f t="shared" si="26"/>
        <v>0</v>
      </c>
      <c r="Q70" s="817"/>
      <c r="R70" s="817"/>
    </row>
    <row r="71" spans="1:18" s="497" customFormat="1" x14ac:dyDescent="0.25">
      <c r="A71" s="496">
        <v>4420011</v>
      </c>
      <c r="B71" s="301">
        <v>4430018</v>
      </c>
      <c r="C71" s="646" t="s">
        <v>69</v>
      </c>
      <c r="D71" s="832"/>
      <c r="E71" s="832">
        <f>2510+233</f>
        <v>2743</v>
      </c>
      <c r="F71" s="832">
        <v>0</v>
      </c>
      <c r="G71" s="833">
        <f>'Line Items explanations'!H289</f>
        <v>0</v>
      </c>
      <c r="H71" s="607" t="str">
        <f t="shared" si="27"/>
        <v/>
      </c>
      <c r="I71" s="833">
        <f t="shared" si="28"/>
        <v>0</v>
      </c>
      <c r="J71" s="833">
        <f t="shared" si="23"/>
        <v>0</v>
      </c>
      <c r="K71" s="833">
        <f t="shared" si="23"/>
        <v>0</v>
      </c>
      <c r="L71" s="833">
        <f t="shared" si="23"/>
        <v>0</v>
      </c>
      <c r="M71" s="833">
        <f t="shared" si="24"/>
        <v>0</v>
      </c>
      <c r="N71" s="840"/>
      <c r="O71" s="833">
        <f t="shared" si="25"/>
        <v>0</v>
      </c>
      <c r="P71" s="810">
        <f t="shared" si="26"/>
        <v>0</v>
      </c>
      <c r="Q71" s="817"/>
      <c r="R71" s="817"/>
    </row>
    <row r="72" spans="1:18" s="497" customFormat="1" ht="31.5" x14ac:dyDescent="0.25">
      <c r="A72" s="496">
        <v>4430023</v>
      </c>
      <c r="B72" s="301">
        <v>4420010</v>
      </c>
      <c r="C72" s="646" t="s">
        <v>70</v>
      </c>
      <c r="D72" s="832"/>
      <c r="E72" s="832">
        <v>250</v>
      </c>
      <c r="F72" s="832">
        <v>300</v>
      </c>
      <c r="G72" s="833">
        <f>'Line Items explanations'!H294</f>
        <v>300</v>
      </c>
      <c r="H72" s="607">
        <f t="shared" si="27"/>
        <v>0.2</v>
      </c>
      <c r="I72" s="833">
        <f t="shared" si="28"/>
        <v>75</v>
      </c>
      <c r="J72" s="833">
        <f t="shared" si="23"/>
        <v>75</v>
      </c>
      <c r="K72" s="833">
        <f t="shared" si="23"/>
        <v>75</v>
      </c>
      <c r="L72" s="833">
        <f t="shared" si="23"/>
        <v>75</v>
      </c>
      <c r="M72" s="833">
        <f t="shared" si="24"/>
        <v>1.5625</v>
      </c>
      <c r="N72" s="840"/>
      <c r="O72" s="833">
        <f t="shared" si="25"/>
        <v>0</v>
      </c>
      <c r="P72" s="810">
        <f t="shared" si="26"/>
        <v>0</v>
      </c>
      <c r="Q72" s="817" t="s">
        <v>729</v>
      </c>
      <c r="R72" s="817"/>
    </row>
    <row r="73" spans="1:18" s="497" customFormat="1" x14ac:dyDescent="0.25">
      <c r="A73" s="496">
        <v>4430012</v>
      </c>
      <c r="B73" s="301">
        <v>4430011.0199999996</v>
      </c>
      <c r="C73" s="646" t="s">
        <v>27</v>
      </c>
      <c r="D73" s="832"/>
      <c r="E73" s="832"/>
      <c r="F73" s="832">
        <v>0</v>
      </c>
      <c r="G73" s="833">
        <f>'Line Items explanations'!H299</f>
        <v>0</v>
      </c>
      <c r="H73" s="607" t="str">
        <f t="shared" si="27"/>
        <v/>
      </c>
      <c r="I73" s="833">
        <f t="shared" si="28"/>
        <v>0</v>
      </c>
      <c r="J73" s="833">
        <f t="shared" si="23"/>
        <v>0</v>
      </c>
      <c r="K73" s="833">
        <f t="shared" si="23"/>
        <v>0</v>
      </c>
      <c r="L73" s="833">
        <f t="shared" si="23"/>
        <v>0</v>
      </c>
      <c r="M73" s="833">
        <f t="shared" si="24"/>
        <v>0</v>
      </c>
      <c r="N73" s="840"/>
      <c r="O73" s="833">
        <f t="shared" si="25"/>
        <v>0</v>
      </c>
      <c r="P73" s="810">
        <f t="shared" si="26"/>
        <v>0</v>
      </c>
      <c r="Q73" s="817"/>
      <c r="R73" s="817"/>
    </row>
    <row r="74" spans="1:18" s="497" customFormat="1" x14ac:dyDescent="0.2">
      <c r="A74" s="496">
        <v>4420014</v>
      </c>
      <c r="B74" s="496"/>
      <c r="C74" s="642" t="s">
        <v>295</v>
      </c>
      <c r="D74" s="832"/>
      <c r="E74" s="832"/>
      <c r="F74" s="832">
        <v>0</v>
      </c>
      <c r="G74" s="833">
        <f>'Line Items explanations'!H304</f>
        <v>0</v>
      </c>
      <c r="H74" s="607" t="str">
        <f t="shared" si="27"/>
        <v/>
      </c>
      <c r="I74" s="833">
        <f>+$G74/4</f>
        <v>0</v>
      </c>
      <c r="J74" s="833">
        <f t="shared" si="23"/>
        <v>0</v>
      </c>
      <c r="K74" s="833">
        <f t="shared" si="23"/>
        <v>0</v>
      </c>
      <c r="L74" s="833">
        <f t="shared" si="23"/>
        <v>0</v>
      </c>
      <c r="M74" s="833">
        <f t="shared" si="24"/>
        <v>0</v>
      </c>
      <c r="N74" s="840"/>
      <c r="O74" s="833">
        <f t="shared" si="25"/>
        <v>0</v>
      </c>
      <c r="P74" s="810">
        <f t="shared" si="26"/>
        <v>0</v>
      </c>
      <c r="Q74" s="817"/>
      <c r="R74" s="817"/>
    </row>
    <row r="75" spans="1:18" s="497" customFormat="1" x14ac:dyDescent="0.25">
      <c r="A75" s="496">
        <v>4430023</v>
      </c>
      <c r="B75" s="301">
        <v>4410065.0199999996</v>
      </c>
      <c r="C75" s="646" t="s">
        <v>21</v>
      </c>
      <c r="D75" s="832"/>
      <c r="E75" s="832">
        <v>7070</v>
      </c>
      <c r="F75" s="832">
        <v>7200</v>
      </c>
      <c r="G75" s="833">
        <f>'Compensation Details'!F53</f>
        <v>7200</v>
      </c>
      <c r="H75" s="607">
        <f t="shared" si="27"/>
        <v>1.8387553041018388E-2</v>
      </c>
      <c r="I75" s="833">
        <f>+G75/4</f>
        <v>1800</v>
      </c>
      <c r="J75" s="833">
        <f t="shared" si="23"/>
        <v>1800</v>
      </c>
      <c r="K75" s="833">
        <f t="shared" si="23"/>
        <v>1800</v>
      </c>
      <c r="L75" s="833">
        <f t="shared" si="23"/>
        <v>1800</v>
      </c>
      <c r="M75" s="833">
        <f t="shared" si="24"/>
        <v>37.5</v>
      </c>
      <c r="N75" s="840"/>
      <c r="O75" s="833">
        <f t="shared" si="25"/>
        <v>0</v>
      </c>
      <c r="P75" s="810">
        <f t="shared" si="26"/>
        <v>0</v>
      </c>
      <c r="Q75" s="817"/>
      <c r="R75" s="817"/>
    </row>
    <row r="76" spans="1:18" s="497" customFormat="1" x14ac:dyDescent="0.2">
      <c r="A76" s="496">
        <v>4430092</v>
      </c>
      <c r="B76" s="496"/>
      <c r="C76" s="642" t="s">
        <v>293</v>
      </c>
      <c r="D76" s="832"/>
      <c r="E76" s="832"/>
      <c r="F76" s="832">
        <v>0</v>
      </c>
      <c r="G76" s="833">
        <f>'Line Items explanations'!H314</f>
        <v>0</v>
      </c>
      <c r="H76" s="607" t="str">
        <f t="shared" si="27"/>
        <v/>
      </c>
      <c r="I76" s="833">
        <f>+$G76/4</f>
        <v>0</v>
      </c>
      <c r="J76" s="833">
        <f t="shared" si="23"/>
        <v>0</v>
      </c>
      <c r="K76" s="833">
        <f t="shared" si="23"/>
        <v>0</v>
      </c>
      <c r="L76" s="833">
        <f t="shared" si="23"/>
        <v>0</v>
      </c>
      <c r="M76" s="833">
        <f t="shared" si="24"/>
        <v>0</v>
      </c>
      <c r="N76" s="840"/>
      <c r="O76" s="833">
        <f t="shared" si="25"/>
        <v>0</v>
      </c>
      <c r="P76" s="810">
        <f t="shared" si="26"/>
        <v>0</v>
      </c>
      <c r="Q76" s="817"/>
      <c r="R76" s="817"/>
    </row>
    <row r="77" spans="1:18" s="497" customFormat="1" ht="47.25" x14ac:dyDescent="0.25">
      <c r="A77" s="496">
        <v>4430021</v>
      </c>
      <c r="B77" s="301">
        <v>4420001.03</v>
      </c>
      <c r="C77" s="646" t="s">
        <v>22</v>
      </c>
      <c r="D77" s="832">
        <v>244.21</v>
      </c>
      <c r="E77" s="832">
        <v>1700</v>
      </c>
      <c r="F77" s="832">
        <v>3000</v>
      </c>
      <c r="G77" s="833">
        <f>'Line Items explanations'!H319</f>
        <v>3000</v>
      </c>
      <c r="H77" s="607">
        <f t="shared" si="27"/>
        <v>0.76470588235294112</v>
      </c>
      <c r="I77" s="833">
        <f t="shared" ref="I77:I85" si="29">+G77/4</f>
        <v>750</v>
      </c>
      <c r="J77" s="833">
        <f t="shared" si="23"/>
        <v>750</v>
      </c>
      <c r="K77" s="833">
        <f t="shared" si="23"/>
        <v>750</v>
      </c>
      <c r="L77" s="833">
        <f t="shared" si="23"/>
        <v>750</v>
      </c>
      <c r="M77" s="833">
        <f t="shared" si="24"/>
        <v>15.625</v>
      </c>
      <c r="N77" s="840"/>
      <c r="O77" s="833">
        <f t="shared" si="25"/>
        <v>0</v>
      </c>
      <c r="P77" s="810">
        <f t="shared" si="26"/>
        <v>0</v>
      </c>
      <c r="Q77" s="817" t="s">
        <v>730</v>
      </c>
      <c r="R77" s="817"/>
    </row>
    <row r="78" spans="1:18" s="497" customFormat="1" ht="47.25" x14ac:dyDescent="0.25">
      <c r="A78" s="496">
        <v>4420012</v>
      </c>
      <c r="B78" s="301">
        <v>4430022.05</v>
      </c>
      <c r="C78" s="646" t="s">
        <v>113</v>
      </c>
      <c r="D78" s="832">
        <v>772.14</v>
      </c>
      <c r="E78" s="832">
        <v>780</v>
      </c>
      <c r="F78" s="832">
        <v>1920</v>
      </c>
      <c r="G78" s="833">
        <f>'Line Items explanations'!H324</f>
        <v>1920</v>
      </c>
      <c r="H78" s="607">
        <f t="shared" si="27"/>
        <v>1.4615384615384615</v>
      </c>
      <c r="I78" s="833">
        <f t="shared" si="29"/>
        <v>480</v>
      </c>
      <c r="J78" s="833">
        <f t="shared" si="23"/>
        <v>480</v>
      </c>
      <c r="K78" s="833">
        <f t="shared" si="23"/>
        <v>480</v>
      </c>
      <c r="L78" s="833">
        <f t="shared" si="23"/>
        <v>480</v>
      </c>
      <c r="M78" s="833">
        <f t="shared" si="24"/>
        <v>10</v>
      </c>
      <c r="N78" s="840"/>
      <c r="O78" s="833">
        <f t="shared" si="25"/>
        <v>0</v>
      </c>
      <c r="P78" s="810">
        <f t="shared" si="26"/>
        <v>0</v>
      </c>
      <c r="Q78" s="817" t="s">
        <v>731</v>
      </c>
      <c r="R78" s="817"/>
    </row>
    <row r="79" spans="1:18" s="497" customFormat="1" ht="47.25" x14ac:dyDescent="0.25">
      <c r="A79" s="496">
        <v>4430018</v>
      </c>
      <c r="B79" s="301">
        <v>4420013</v>
      </c>
      <c r="C79" s="646" t="s">
        <v>93</v>
      </c>
      <c r="D79" s="832">
        <v>1752.91</v>
      </c>
      <c r="E79" s="832">
        <f>780+1320</f>
        <v>2100</v>
      </c>
      <c r="F79" s="832">
        <v>4500</v>
      </c>
      <c r="G79" s="833">
        <f>'Line Items explanations'!H329</f>
        <v>4500</v>
      </c>
      <c r="H79" s="607">
        <f t="shared" si="27"/>
        <v>1.1428571428571428</v>
      </c>
      <c r="I79" s="833">
        <f t="shared" si="29"/>
        <v>1125</v>
      </c>
      <c r="J79" s="833">
        <f t="shared" si="23"/>
        <v>1125</v>
      </c>
      <c r="K79" s="833">
        <f t="shared" si="23"/>
        <v>1125</v>
      </c>
      <c r="L79" s="833">
        <f t="shared" si="23"/>
        <v>1125</v>
      </c>
      <c r="M79" s="833">
        <f t="shared" si="24"/>
        <v>23.4375</v>
      </c>
      <c r="N79" s="840"/>
      <c r="O79" s="833">
        <f t="shared" si="25"/>
        <v>0</v>
      </c>
      <c r="P79" s="810">
        <f t="shared" si="26"/>
        <v>0</v>
      </c>
      <c r="Q79" s="817" t="s">
        <v>732</v>
      </c>
      <c r="R79" s="817"/>
    </row>
    <row r="80" spans="1:18" s="497" customFormat="1" ht="47.25" x14ac:dyDescent="0.25">
      <c r="A80" s="496">
        <v>4420010</v>
      </c>
      <c r="B80" s="301">
        <v>4420011</v>
      </c>
      <c r="C80" s="646" t="s">
        <v>28</v>
      </c>
      <c r="D80" s="832"/>
      <c r="E80" s="832"/>
      <c r="F80" s="832">
        <v>600</v>
      </c>
      <c r="G80" s="833">
        <f>'Line Items explanations'!H334</f>
        <v>600</v>
      </c>
      <c r="H80" s="607">
        <f t="shared" si="27"/>
        <v>1</v>
      </c>
      <c r="I80" s="833">
        <f t="shared" si="29"/>
        <v>150</v>
      </c>
      <c r="J80" s="833">
        <f t="shared" si="23"/>
        <v>150</v>
      </c>
      <c r="K80" s="833">
        <f t="shared" si="23"/>
        <v>150</v>
      </c>
      <c r="L80" s="833">
        <f t="shared" si="23"/>
        <v>150</v>
      </c>
      <c r="M80" s="833">
        <f t="shared" si="24"/>
        <v>3.125</v>
      </c>
      <c r="N80" s="840"/>
      <c r="O80" s="833">
        <f t="shared" si="25"/>
        <v>0</v>
      </c>
      <c r="P80" s="810">
        <f t="shared" si="26"/>
        <v>0</v>
      </c>
      <c r="Q80" s="817" t="s">
        <v>733</v>
      </c>
      <c r="R80" s="817"/>
    </row>
    <row r="81" spans="1:19" s="497" customFormat="1" x14ac:dyDescent="0.25">
      <c r="A81" s="496">
        <v>4430001</v>
      </c>
      <c r="B81" s="301">
        <v>4480001</v>
      </c>
      <c r="C81" s="646" t="s">
        <v>33</v>
      </c>
      <c r="D81" s="832">
        <v>75.959999999999994</v>
      </c>
      <c r="E81" s="832"/>
      <c r="F81" s="832">
        <v>0</v>
      </c>
      <c r="G81" s="833">
        <f>'Line Items explanations'!H339</f>
        <v>0</v>
      </c>
      <c r="H81" s="607" t="str">
        <f t="shared" si="27"/>
        <v/>
      </c>
      <c r="I81" s="833">
        <f t="shared" si="29"/>
        <v>0</v>
      </c>
      <c r="J81" s="833">
        <f t="shared" si="23"/>
        <v>0</v>
      </c>
      <c r="K81" s="833">
        <f t="shared" si="23"/>
        <v>0</v>
      </c>
      <c r="L81" s="833">
        <f t="shared" si="23"/>
        <v>0</v>
      </c>
      <c r="M81" s="833">
        <f t="shared" si="24"/>
        <v>0</v>
      </c>
      <c r="N81" s="840"/>
      <c r="O81" s="833">
        <f t="shared" si="25"/>
        <v>0</v>
      </c>
      <c r="P81" s="810">
        <f t="shared" si="26"/>
        <v>0</v>
      </c>
      <c r="Q81" s="817"/>
      <c r="R81" s="817"/>
    </row>
    <row r="82" spans="1:19" s="497" customFormat="1" x14ac:dyDescent="0.25">
      <c r="A82" s="496"/>
      <c r="B82" s="301">
        <v>4430023.01</v>
      </c>
      <c r="C82" s="646" t="s">
        <v>29</v>
      </c>
      <c r="D82" s="832"/>
      <c r="E82" s="832"/>
      <c r="F82" s="832">
        <v>0</v>
      </c>
      <c r="G82" s="833">
        <f>'Line Items explanations'!H344</f>
        <v>0</v>
      </c>
      <c r="H82" s="607" t="str">
        <f t="shared" si="27"/>
        <v/>
      </c>
      <c r="I82" s="833">
        <f t="shared" si="29"/>
        <v>0</v>
      </c>
      <c r="J82" s="833">
        <f t="shared" si="23"/>
        <v>0</v>
      </c>
      <c r="K82" s="833">
        <f t="shared" si="23"/>
        <v>0</v>
      </c>
      <c r="L82" s="833">
        <f t="shared" si="23"/>
        <v>0</v>
      </c>
      <c r="M82" s="833">
        <f t="shared" si="24"/>
        <v>0</v>
      </c>
      <c r="N82" s="840"/>
      <c r="O82" s="833">
        <f t="shared" si="25"/>
        <v>0</v>
      </c>
      <c r="P82" s="810">
        <f t="shared" si="26"/>
        <v>0</v>
      </c>
      <c r="Q82" s="817"/>
      <c r="R82" s="817"/>
    </row>
    <row r="83" spans="1:19" s="497" customFormat="1" x14ac:dyDescent="0.25">
      <c r="A83" s="496" t="s">
        <v>348</v>
      </c>
      <c r="B83" s="301">
        <v>4430011.01</v>
      </c>
      <c r="C83" s="646" t="s">
        <v>26</v>
      </c>
      <c r="D83" s="832"/>
      <c r="E83" s="832"/>
      <c r="F83" s="832">
        <v>0</v>
      </c>
      <c r="G83" s="833">
        <f>'Line Items explanations'!H349</f>
        <v>0</v>
      </c>
      <c r="H83" s="607" t="str">
        <f t="shared" si="27"/>
        <v/>
      </c>
      <c r="I83" s="833">
        <f t="shared" si="29"/>
        <v>0</v>
      </c>
      <c r="J83" s="833">
        <f t="shared" si="23"/>
        <v>0</v>
      </c>
      <c r="K83" s="833">
        <f t="shared" si="23"/>
        <v>0</v>
      </c>
      <c r="L83" s="833">
        <f t="shared" si="23"/>
        <v>0</v>
      </c>
      <c r="M83" s="833">
        <f t="shared" si="24"/>
        <v>0</v>
      </c>
      <c r="N83" s="840"/>
      <c r="O83" s="833">
        <f t="shared" si="25"/>
        <v>0</v>
      </c>
      <c r="P83" s="810">
        <f t="shared" si="26"/>
        <v>0</v>
      </c>
      <c r="Q83" s="817"/>
      <c r="R83" s="817"/>
    </row>
    <row r="84" spans="1:19" s="497" customFormat="1" ht="47.25" x14ac:dyDescent="0.25">
      <c r="A84" s="496"/>
      <c r="B84" s="301">
        <v>4430021</v>
      </c>
      <c r="C84" s="646" t="s">
        <v>32</v>
      </c>
      <c r="D84" s="832"/>
      <c r="E84" s="832"/>
      <c r="F84" s="832">
        <v>60</v>
      </c>
      <c r="G84" s="833">
        <f>'Line Items explanations'!H354</f>
        <v>60</v>
      </c>
      <c r="H84" s="607">
        <f t="shared" si="27"/>
        <v>1</v>
      </c>
      <c r="I84" s="833">
        <f t="shared" si="29"/>
        <v>15</v>
      </c>
      <c r="J84" s="833">
        <f t="shared" si="23"/>
        <v>15</v>
      </c>
      <c r="K84" s="833">
        <f t="shared" si="23"/>
        <v>15</v>
      </c>
      <c r="L84" s="833">
        <f t="shared" si="23"/>
        <v>15</v>
      </c>
      <c r="M84" s="833">
        <f t="shared" si="24"/>
        <v>0.3125</v>
      </c>
      <c r="N84" s="840"/>
      <c r="O84" s="833">
        <f t="shared" si="25"/>
        <v>0</v>
      </c>
      <c r="P84" s="810">
        <f t="shared" si="26"/>
        <v>0</v>
      </c>
      <c r="Q84" s="817" t="s">
        <v>734</v>
      </c>
      <c r="R84" s="817"/>
    </row>
    <row r="85" spans="1:19" s="497" customFormat="1" ht="47.25" x14ac:dyDescent="0.25">
      <c r="A85" s="496"/>
      <c r="B85" s="301">
        <v>4430092</v>
      </c>
      <c r="C85" s="646" t="s">
        <v>31</v>
      </c>
      <c r="D85" s="832"/>
      <c r="E85" s="832"/>
      <c r="F85" s="832">
        <v>360</v>
      </c>
      <c r="G85" s="833">
        <f>'Line Items explanations'!H359</f>
        <v>360</v>
      </c>
      <c r="H85" s="607">
        <f t="shared" si="27"/>
        <v>1</v>
      </c>
      <c r="I85" s="833">
        <f t="shared" si="29"/>
        <v>90</v>
      </c>
      <c r="J85" s="833">
        <f t="shared" si="23"/>
        <v>90</v>
      </c>
      <c r="K85" s="833">
        <f t="shared" si="23"/>
        <v>90</v>
      </c>
      <c r="L85" s="833">
        <f t="shared" si="23"/>
        <v>90</v>
      </c>
      <c r="M85" s="833">
        <f t="shared" si="24"/>
        <v>1.875</v>
      </c>
      <c r="N85" s="840"/>
      <c r="O85" s="833">
        <f t="shared" si="25"/>
        <v>0</v>
      </c>
      <c r="P85" s="810">
        <f t="shared" si="26"/>
        <v>0</v>
      </c>
      <c r="Q85" s="817" t="s">
        <v>735</v>
      </c>
      <c r="R85" s="817"/>
    </row>
    <row r="86" spans="1:19" s="497" customFormat="1" x14ac:dyDescent="0.2">
      <c r="A86" s="496"/>
      <c r="B86" s="496"/>
      <c r="C86" s="642" t="s">
        <v>53</v>
      </c>
      <c r="D86" s="832"/>
      <c r="E86" s="832"/>
      <c r="F86" s="832">
        <v>0</v>
      </c>
      <c r="G86" s="833">
        <f>'Line Items explanations'!H364</f>
        <v>0</v>
      </c>
      <c r="H86" s="607" t="str">
        <f t="shared" si="27"/>
        <v/>
      </c>
      <c r="I86" s="833">
        <f>+$G86/4</f>
        <v>0</v>
      </c>
      <c r="J86" s="833">
        <f t="shared" si="23"/>
        <v>0</v>
      </c>
      <c r="K86" s="833">
        <f t="shared" si="23"/>
        <v>0</v>
      </c>
      <c r="L86" s="833">
        <f t="shared" si="23"/>
        <v>0</v>
      </c>
      <c r="M86" s="833">
        <f t="shared" si="24"/>
        <v>0</v>
      </c>
      <c r="N86" s="840"/>
      <c r="O86" s="833">
        <f t="shared" si="25"/>
        <v>0</v>
      </c>
      <c r="P86" s="810">
        <f t="shared" si="26"/>
        <v>0</v>
      </c>
      <c r="Q86" s="817"/>
      <c r="R86" s="817"/>
    </row>
    <row r="87" spans="1:19" s="497" customFormat="1" x14ac:dyDescent="0.2">
      <c r="A87" s="496"/>
      <c r="B87" s="496"/>
      <c r="C87" s="642" t="s">
        <v>53</v>
      </c>
      <c r="D87" s="832"/>
      <c r="E87" s="832"/>
      <c r="F87" s="832">
        <v>0</v>
      </c>
      <c r="G87" s="833">
        <f>'Line Items explanations'!H369</f>
        <v>0</v>
      </c>
      <c r="H87" s="607" t="str">
        <f t="shared" si="27"/>
        <v/>
      </c>
      <c r="I87" s="833">
        <f>+$G87/4</f>
        <v>0</v>
      </c>
      <c r="J87" s="833">
        <f t="shared" si="23"/>
        <v>0</v>
      </c>
      <c r="K87" s="833">
        <f t="shared" si="23"/>
        <v>0</v>
      </c>
      <c r="L87" s="833">
        <f t="shared" si="23"/>
        <v>0</v>
      </c>
      <c r="M87" s="833">
        <f t="shared" si="24"/>
        <v>0</v>
      </c>
      <c r="N87" s="840"/>
      <c r="O87" s="833">
        <f t="shared" si="25"/>
        <v>0</v>
      </c>
      <c r="P87" s="810">
        <f t="shared" si="26"/>
        <v>0</v>
      </c>
      <c r="Q87" s="817"/>
      <c r="R87" s="817"/>
    </row>
    <row r="88" spans="1:19" s="508" customFormat="1" x14ac:dyDescent="0.2">
      <c r="A88" s="503" t="s">
        <v>548</v>
      </c>
      <c r="B88" s="503"/>
      <c r="C88" s="647" t="s">
        <v>35</v>
      </c>
      <c r="D88" s="829">
        <f>SUM(D62:D87)</f>
        <v>2845.2200000000003</v>
      </c>
      <c r="E88" s="829">
        <f>SUM(E62:E87)</f>
        <v>17082</v>
      </c>
      <c r="F88" s="829">
        <v>20940</v>
      </c>
      <c r="G88" s="829">
        <f>SUM(G62:G87)</f>
        <v>20940</v>
      </c>
      <c r="H88" s="606">
        <f t="shared" si="27"/>
        <v>0.22585177379697927</v>
      </c>
      <c r="I88" s="829">
        <f t="shared" ref="I88:O88" si="30">SUM(I62:I87)</f>
        <v>5235</v>
      </c>
      <c r="J88" s="829">
        <f t="shared" si="30"/>
        <v>5235</v>
      </c>
      <c r="K88" s="829">
        <f t="shared" si="30"/>
        <v>5235</v>
      </c>
      <c r="L88" s="829">
        <f t="shared" si="30"/>
        <v>5235</v>
      </c>
      <c r="M88" s="829">
        <f t="shared" si="30"/>
        <v>109.0625</v>
      </c>
      <c r="N88" s="829">
        <f t="shared" si="30"/>
        <v>0</v>
      </c>
      <c r="O88" s="829">
        <f t="shared" si="30"/>
        <v>0</v>
      </c>
      <c r="P88" s="811">
        <f t="shared" si="26"/>
        <v>0</v>
      </c>
      <c r="Q88" s="817"/>
      <c r="R88" s="817"/>
      <c r="S88" s="507"/>
    </row>
    <row r="89" spans="1:19" s="497" customFormat="1" x14ac:dyDescent="0.2">
      <c r="A89" s="496"/>
      <c r="B89" s="496"/>
      <c r="C89" s="646"/>
      <c r="D89" s="830"/>
      <c r="E89" s="830"/>
      <c r="F89" s="830"/>
      <c r="G89" s="833"/>
      <c r="H89" s="607" t="str">
        <f t="shared" si="27"/>
        <v/>
      </c>
      <c r="I89" s="841"/>
      <c r="J89" s="841"/>
      <c r="K89" s="841"/>
      <c r="L89" s="841"/>
      <c r="M89" s="841"/>
      <c r="N89" s="842"/>
      <c r="O89" s="841"/>
      <c r="P89" s="812"/>
      <c r="Q89" s="820"/>
      <c r="R89" s="820"/>
    </row>
    <row r="90" spans="1:19" s="497" customFormat="1" x14ac:dyDescent="0.2">
      <c r="A90" s="496"/>
      <c r="B90" s="496"/>
      <c r="C90" s="644" t="s">
        <v>36</v>
      </c>
      <c r="D90" s="835"/>
      <c r="E90" s="835"/>
      <c r="F90" s="835"/>
      <c r="G90" s="833"/>
      <c r="H90" s="607" t="str">
        <f t="shared" si="27"/>
        <v/>
      </c>
      <c r="I90" s="833"/>
      <c r="J90" s="833"/>
      <c r="K90" s="833"/>
      <c r="L90" s="833"/>
      <c r="M90" s="841"/>
      <c r="N90" s="842"/>
      <c r="O90" s="841"/>
      <c r="P90" s="813"/>
      <c r="Q90" s="817"/>
      <c r="R90" s="817"/>
    </row>
    <row r="91" spans="1:19" s="497" customFormat="1" ht="31.5" x14ac:dyDescent="0.25">
      <c r="A91" s="496">
        <v>4330001</v>
      </c>
      <c r="B91" s="301">
        <v>4320001</v>
      </c>
      <c r="C91" s="646" t="s">
        <v>38</v>
      </c>
      <c r="D91" s="832">
        <v>253.35</v>
      </c>
      <c r="E91" s="832">
        <v>240</v>
      </c>
      <c r="F91" s="832">
        <v>360</v>
      </c>
      <c r="G91" s="833">
        <f>'Line Items explanations'!H378</f>
        <v>360</v>
      </c>
      <c r="H91" s="607">
        <f t="shared" si="27"/>
        <v>0.5</v>
      </c>
      <c r="I91" s="833">
        <f>+G91/4</f>
        <v>90</v>
      </c>
      <c r="J91" s="833">
        <f t="shared" ref="J91:L94" si="31">+$G91/4</f>
        <v>90</v>
      </c>
      <c r="K91" s="833">
        <f t="shared" si="31"/>
        <v>90</v>
      </c>
      <c r="L91" s="833">
        <f t="shared" si="31"/>
        <v>90</v>
      </c>
      <c r="M91" s="833">
        <f>IF(G91=0,0,G91/$G$5/12)</f>
        <v>1.875</v>
      </c>
      <c r="N91" s="840"/>
      <c r="O91" s="833">
        <f>IF(N91=0,0,N91/$G$4/12)</f>
        <v>0</v>
      </c>
      <c r="P91" s="810">
        <f>IF(N91=0,0,(G91/N91))</f>
        <v>0</v>
      </c>
      <c r="Q91" s="817" t="s">
        <v>736</v>
      </c>
      <c r="R91" s="817"/>
    </row>
    <row r="92" spans="1:19" s="497" customFormat="1" x14ac:dyDescent="0.25">
      <c r="A92" s="496">
        <v>4320001</v>
      </c>
      <c r="B92" s="301">
        <v>4330001</v>
      </c>
      <c r="C92" s="646" t="s">
        <v>37</v>
      </c>
      <c r="D92" s="832">
        <v>628.77</v>
      </c>
      <c r="E92" s="832">
        <v>700</v>
      </c>
      <c r="F92" s="832">
        <v>330</v>
      </c>
      <c r="G92" s="833">
        <f>'Line Items explanations'!H383</f>
        <v>330</v>
      </c>
      <c r="H92" s="607">
        <f t="shared" si="27"/>
        <v>-0.52857142857142858</v>
      </c>
      <c r="I92" s="833">
        <f>+G92/4</f>
        <v>82.5</v>
      </c>
      <c r="J92" s="833">
        <f t="shared" si="31"/>
        <v>82.5</v>
      </c>
      <c r="K92" s="833">
        <f t="shared" si="31"/>
        <v>82.5</v>
      </c>
      <c r="L92" s="833">
        <f t="shared" si="31"/>
        <v>82.5</v>
      </c>
      <c r="M92" s="833">
        <f>IF(G92=0,0,G92/$G$5/12)</f>
        <v>1.71875</v>
      </c>
      <c r="N92" s="840"/>
      <c r="O92" s="833">
        <f>IF(N92=0,0,N92/$G$4/12)</f>
        <v>0</v>
      </c>
      <c r="P92" s="810">
        <f>IF(N92=0,0,(G92/N92))</f>
        <v>0</v>
      </c>
      <c r="Q92" s="817"/>
      <c r="R92" s="817"/>
    </row>
    <row r="93" spans="1:19" s="497" customFormat="1" x14ac:dyDescent="0.25">
      <c r="A93" s="496">
        <v>4310001</v>
      </c>
      <c r="B93" s="301">
        <v>4310001</v>
      </c>
      <c r="C93" s="646" t="s">
        <v>39</v>
      </c>
      <c r="D93" s="832"/>
      <c r="E93" s="832"/>
      <c r="F93" s="832">
        <v>0</v>
      </c>
      <c r="G93" s="833">
        <f>'Line Items explanations'!H388</f>
        <v>0</v>
      </c>
      <c r="H93" s="607" t="str">
        <f t="shared" si="27"/>
        <v/>
      </c>
      <c r="I93" s="833">
        <f>+G93/4</f>
        <v>0</v>
      </c>
      <c r="J93" s="833">
        <f t="shared" si="31"/>
        <v>0</v>
      </c>
      <c r="K93" s="833">
        <f t="shared" si="31"/>
        <v>0</v>
      </c>
      <c r="L93" s="833">
        <f t="shared" si="31"/>
        <v>0</v>
      </c>
      <c r="M93" s="833">
        <f>IF(G93=0,0,G93/$G$5/12)</f>
        <v>0</v>
      </c>
      <c r="N93" s="840"/>
      <c r="O93" s="833">
        <f>IF(N93=0,0,N93/$G$4/12)</f>
        <v>0</v>
      </c>
      <c r="P93" s="810">
        <f>IF(N93=0,0,(G93/N93))</f>
        <v>0</v>
      </c>
      <c r="Q93" s="817"/>
      <c r="R93" s="817"/>
    </row>
    <row r="94" spans="1:19" s="497" customFormat="1" x14ac:dyDescent="0.2">
      <c r="A94" s="496"/>
      <c r="B94" s="496"/>
      <c r="C94" s="646" t="s">
        <v>53</v>
      </c>
      <c r="D94" s="832"/>
      <c r="E94" s="832"/>
      <c r="F94" s="832">
        <v>0</v>
      </c>
      <c r="G94" s="833">
        <f>'Line Items explanations'!H393</f>
        <v>0</v>
      </c>
      <c r="H94" s="607" t="str">
        <f t="shared" ref="H94:H110" si="32">IF(G94=0,"",IF(E94=0,100%,(G94-E94)/E94))</f>
        <v/>
      </c>
      <c r="I94" s="833">
        <f>+G94/4</f>
        <v>0</v>
      </c>
      <c r="J94" s="833">
        <f t="shared" si="31"/>
        <v>0</v>
      </c>
      <c r="K94" s="833">
        <f t="shared" si="31"/>
        <v>0</v>
      </c>
      <c r="L94" s="833">
        <f t="shared" si="31"/>
        <v>0</v>
      </c>
      <c r="M94" s="833">
        <f>IF(G94=0,0,G94/$G$5/12)</f>
        <v>0</v>
      </c>
      <c r="N94" s="840"/>
      <c r="O94" s="833">
        <f>IF(N94=0,0,N94/#REF!/12)</f>
        <v>0</v>
      </c>
      <c r="P94" s="810">
        <f>IF(N94=0,0,(G94/N94))</f>
        <v>0</v>
      </c>
      <c r="Q94" s="817"/>
      <c r="R94" s="817"/>
    </row>
    <row r="95" spans="1:19" s="508" customFormat="1" x14ac:dyDescent="0.2">
      <c r="A95" s="503" t="s">
        <v>549</v>
      </c>
      <c r="B95" s="503"/>
      <c r="C95" s="609" t="s">
        <v>40</v>
      </c>
      <c r="D95" s="829">
        <f>SUM(D91:D94)</f>
        <v>882.12</v>
      </c>
      <c r="E95" s="829">
        <f>SUM(E91:E94)</f>
        <v>940</v>
      </c>
      <c r="F95" s="829">
        <v>690</v>
      </c>
      <c r="G95" s="829">
        <f>SUM(G91:G94)</f>
        <v>690</v>
      </c>
      <c r="H95" s="606">
        <f t="shared" si="32"/>
        <v>-0.26595744680851063</v>
      </c>
      <c r="I95" s="829">
        <f t="shared" ref="I95:O95" si="33">SUM(I91:I94)</f>
        <v>172.5</v>
      </c>
      <c r="J95" s="829">
        <f t="shared" si="33"/>
        <v>172.5</v>
      </c>
      <c r="K95" s="829">
        <f t="shared" si="33"/>
        <v>172.5</v>
      </c>
      <c r="L95" s="829">
        <f t="shared" si="33"/>
        <v>172.5</v>
      </c>
      <c r="M95" s="829">
        <f t="shared" si="33"/>
        <v>3.59375</v>
      </c>
      <c r="N95" s="829">
        <f t="shared" si="33"/>
        <v>0</v>
      </c>
      <c r="O95" s="829">
        <f t="shared" si="33"/>
        <v>0</v>
      </c>
      <c r="P95" s="811">
        <f>IF(N95=0,0,(G95/N95))</f>
        <v>0</v>
      </c>
      <c r="Q95" s="821"/>
      <c r="R95" s="821"/>
      <c r="S95" s="507"/>
    </row>
    <row r="96" spans="1:19" s="497" customFormat="1" x14ac:dyDescent="0.2">
      <c r="A96" s="496"/>
      <c r="B96" s="496"/>
      <c r="C96" s="646"/>
      <c r="D96" s="830"/>
      <c r="E96" s="830"/>
      <c r="F96" s="830"/>
      <c r="G96" s="833"/>
      <c r="H96" s="607" t="str">
        <f t="shared" si="32"/>
        <v/>
      </c>
      <c r="I96" s="833"/>
      <c r="J96" s="833"/>
      <c r="K96" s="833"/>
      <c r="L96" s="833"/>
      <c r="M96" s="833"/>
      <c r="N96" s="840"/>
      <c r="O96" s="833"/>
      <c r="P96" s="810"/>
      <c r="Q96" s="817"/>
      <c r="R96" s="817"/>
    </row>
    <row r="97" spans="1:19" s="497" customFormat="1" x14ac:dyDescent="0.2">
      <c r="A97" s="496"/>
      <c r="B97" s="496"/>
      <c r="C97" s="645" t="s">
        <v>64</v>
      </c>
      <c r="D97" s="836"/>
      <c r="E97" s="836"/>
      <c r="F97" s="836"/>
      <c r="G97" s="837"/>
      <c r="H97" s="607" t="str">
        <f t="shared" si="32"/>
        <v/>
      </c>
      <c r="I97" s="833"/>
      <c r="J97" s="833"/>
      <c r="K97" s="833"/>
      <c r="L97" s="833"/>
      <c r="M97" s="833"/>
      <c r="N97" s="840"/>
      <c r="O97" s="833"/>
      <c r="P97" s="813"/>
      <c r="Q97" s="817"/>
      <c r="R97" s="817"/>
    </row>
    <row r="98" spans="1:19" s="497" customFormat="1" x14ac:dyDescent="0.2">
      <c r="A98" s="496">
        <v>4520001</v>
      </c>
      <c r="B98" s="496"/>
      <c r="C98" s="646" t="s">
        <v>294</v>
      </c>
      <c r="D98" s="832"/>
      <c r="E98" s="832"/>
      <c r="F98" s="832">
        <v>0</v>
      </c>
      <c r="G98" s="833">
        <f>'Line Items explanations'!H401</f>
        <v>0</v>
      </c>
      <c r="H98" s="607" t="str">
        <f t="shared" si="32"/>
        <v/>
      </c>
      <c r="I98" s="833">
        <f>+G98/4</f>
        <v>0</v>
      </c>
      <c r="J98" s="833">
        <f t="shared" ref="J98:L107" si="34">+$G98/4</f>
        <v>0</v>
      </c>
      <c r="K98" s="833">
        <f t="shared" si="34"/>
        <v>0</v>
      </c>
      <c r="L98" s="833">
        <f t="shared" si="34"/>
        <v>0</v>
      </c>
      <c r="M98" s="833">
        <f t="shared" ref="M98:M108" si="35">IF(G98=0,0,G98/$G$5/12)</f>
        <v>0</v>
      </c>
      <c r="N98" s="840"/>
      <c r="O98" s="833">
        <f t="shared" ref="O98:O108" si="36">IF(N98=0,0,N98/$G$4/12)</f>
        <v>0</v>
      </c>
      <c r="P98" s="810">
        <f t="shared" ref="P98:P109" si="37">IF(N98=0,0,(G98/N98))</f>
        <v>0</v>
      </c>
      <c r="Q98" s="817"/>
      <c r="R98" s="817"/>
    </row>
    <row r="99" spans="1:19" s="497" customFormat="1" x14ac:dyDescent="0.25">
      <c r="A99" s="496">
        <v>4540004</v>
      </c>
      <c r="B99" s="301">
        <v>4540003</v>
      </c>
      <c r="C99" s="646" t="s">
        <v>105</v>
      </c>
      <c r="D99" s="832"/>
      <c r="E99" s="832"/>
      <c r="F99" s="832">
        <v>0</v>
      </c>
      <c r="G99" s="833">
        <f>'Line Items explanations'!H406</f>
        <v>0</v>
      </c>
      <c r="H99" s="607" t="str">
        <f t="shared" si="32"/>
        <v/>
      </c>
      <c r="I99" s="833">
        <f>+G99/4</f>
        <v>0</v>
      </c>
      <c r="J99" s="833">
        <f t="shared" si="34"/>
        <v>0</v>
      </c>
      <c r="K99" s="833">
        <f t="shared" si="34"/>
        <v>0</v>
      </c>
      <c r="L99" s="833">
        <f t="shared" si="34"/>
        <v>0</v>
      </c>
      <c r="M99" s="833">
        <f t="shared" si="35"/>
        <v>0</v>
      </c>
      <c r="N99" s="840"/>
      <c r="O99" s="833">
        <f t="shared" si="36"/>
        <v>0</v>
      </c>
      <c r="P99" s="810">
        <f t="shared" si="37"/>
        <v>0</v>
      </c>
      <c r="Q99" s="817"/>
      <c r="R99" s="817"/>
    </row>
    <row r="100" spans="1:19" s="497" customFormat="1" ht="47.25" x14ac:dyDescent="0.25">
      <c r="A100" s="496">
        <v>4510015</v>
      </c>
      <c r="B100" s="301">
        <v>4540005</v>
      </c>
      <c r="C100" s="646" t="s">
        <v>44</v>
      </c>
      <c r="D100" s="832"/>
      <c r="E100" s="832">
        <v>473</v>
      </c>
      <c r="F100" s="832">
        <v>2160</v>
      </c>
      <c r="G100" s="833">
        <f>'Line Items explanations'!H411</f>
        <v>2160</v>
      </c>
      <c r="H100" s="607">
        <f t="shared" si="32"/>
        <v>3.5665961945031714</v>
      </c>
      <c r="I100" s="833">
        <f>+$G100/4</f>
        <v>540</v>
      </c>
      <c r="J100" s="833">
        <f t="shared" si="34"/>
        <v>540</v>
      </c>
      <c r="K100" s="833">
        <f t="shared" si="34"/>
        <v>540</v>
      </c>
      <c r="L100" s="833">
        <f t="shared" si="34"/>
        <v>540</v>
      </c>
      <c r="M100" s="833">
        <f t="shared" si="35"/>
        <v>11.25</v>
      </c>
      <c r="N100" s="840"/>
      <c r="O100" s="833">
        <f t="shared" si="36"/>
        <v>0</v>
      </c>
      <c r="P100" s="810">
        <f t="shared" si="37"/>
        <v>0</v>
      </c>
      <c r="Q100" s="817" t="s">
        <v>737</v>
      </c>
      <c r="R100" s="817"/>
    </row>
    <row r="101" spans="1:19" s="497" customFormat="1" x14ac:dyDescent="0.25">
      <c r="A101" s="496">
        <v>4540005</v>
      </c>
      <c r="B101" s="301">
        <v>4540001</v>
      </c>
      <c r="C101" s="646" t="s">
        <v>45</v>
      </c>
      <c r="D101" s="832">
        <v>1092.8599999999999</v>
      </c>
      <c r="E101" s="832">
        <v>1200</v>
      </c>
      <c r="F101" s="832">
        <v>1162.8</v>
      </c>
      <c r="G101" s="833">
        <f>'Compensation Details'!I57</f>
        <v>1162.8</v>
      </c>
      <c r="H101" s="607">
        <f>IF(G101=0,"",IF(E101=0,100%,(G101-E101)/E101))</f>
        <v>-3.1000000000000038E-2</v>
      </c>
      <c r="I101" s="833">
        <f>+$G101/4</f>
        <v>290.7</v>
      </c>
      <c r="J101" s="833">
        <f>+$G101/4</f>
        <v>290.7</v>
      </c>
      <c r="K101" s="833">
        <f>+$G101/4</f>
        <v>290.7</v>
      </c>
      <c r="L101" s="833">
        <f>+$G101/4</f>
        <v>290.7</v>
      </c>
      <c r="M101" s="833">
        <f>IF(G101=0,0,G101/$G$5/12)</f>
        <v>6.0562499999999995</v>
      </c>
      <c r="N101" s="840"/>
      <c r="O101" s="833">
        <f t="shared" si="36"/>
        <v>0</v>
      </c>
      <c r="P101" s="810">
        <f>IF(N101=0,0,(G101/N101))</f>
        <v>0</v>
      </c>
      <c r="Q101" s="817"/>
      <c r="R101" s="817"/>
    </row>
    <row r="102" spans="1:19" s="497" customFormat="1" x14ac:dyDescent="0.25">
      <c r="A102" s="496">
        <v>4540001</v>
      </c>
      <c r="B102" s="301">
        <v>4580001</v>
      </c>
      <c r="C102" s="646" t="s">
        <v>47</v>
      </c>
      <c r="D102" s="832">
        <v>32</v>
      </c>
      <c r="E102" s="832"/>
      <c r="F102" s="832">
        <v>0</v>
      </c>
      <c r="G102" s="833">
        <f>'Line Items explanations'!H421</f>
        <v>0</v>
      </c>
      <c r="H102" s="607" t="str">
        <f t="shared" si="32"/>
        <v/>
      </c>
      <c r="I102" s="833">
        <f>+G102/4</f>
        <v>0</v>
      </c>
      <c r="J102" s="833">
        <f t="shared" si="34"/>
        <v>0</v>
      </c>
      <c r="K102" s="833">
        <f t="shared" si="34"/>
        <v>0</v>
      </c>
      <c r="L102" s="833">
        <f t="shared" si="34"/>
        <v>0</v>
      </c>
      <c r="M102" s="833">
        <f t="shared" si="35"/>
        <v>0</v>
      </c>
      <c r="N102" s="840"/>
      <c r="O102" s="833">
        <f t="shared" si="36"/>
        <v>0</v>
      </c>
      <c r="P102" s="810">
        <f t="shared" si="37"/>
        <v>0</v>
      </c>
      <c r="Q102" s="822"/>
      <c r="R102" s="822"/>
    </row>
    <row r="103" spans="1:19" s="497" customFormat="1" x14ac:dyDescent="0.25">
      <c r="A103" s="496">
        <v>4540101</v>
      </c>
      <c r="B103" s="301">
        <v>4580002</v>
      </c>
      <c r="C103" s="646" t="s">
        <v>55</v>
      </c>
      <c r="D103" s="832">
        <v>12245.88</v>
      </c>
      <c r="E103" s="832">
        <v>12862</v>
      </c>
      <c r="F103" s="832">
        <v>11820</v>
      </c>
      <c r="G103" s="833">
        <f>'Line Items explanations'!H426</f>
        <v>11820</v>
      </c>
      <c r="H103" s="607">
        <f t="shared" si="32"/>
        <v>-8.1013839216296069E-2</v>
      </c>
      <c r="I103" s="833">
        <f>+G103/4</f>
        <v>2955</v>
      </c>
      <c r="J103" s="833">
        <f t="shared" si="34"/>
        <v>2955</v>
      </c>
      <c r="K103" s="833">
        <f t="shared" si="34"/>
        <v>2955</v>
      </c>
      <c r="L103" s="833">
        <f t="shared" si="34"/>
        <v>2955</v>
      </c>
      <c r="M103" s="833">
        <f t="shared" si="35"/>
        <v>61.5625</v>
      </c>
      <c r="N103" s="840"/>
      <c r="O103" s="833">
        <f t="shared" si="36"/>
        <v>0</v>
      </c>
      <c r="P103" s="810">
        <f t="shared" si="37"/>
        <v>0</v>
      </c>
      <c r="Q103" s="817"/>
      <c r="R103" s="817"/>
    </row>
    <row r="104" spans="1:19" s="497" customFormat="1" x14ac:dyDescent="0.25">
      <c r="A104" s="496">
        <v>4580001</v>
      </c>
      <c r="B104" s="301">
        <v>4540004</v>
      </c>
      <c r="C104" s="646" t="s">
        <v>647</v>
      </c>
      <c r="D104" s="832">
        <f>364.5</f>
        <v>364.5</v>
      </c>
      <c r="E104" s="832">
        <f>1101</f>
        <v>1101</v>
      </c>
      <c r="F104" s="832">
        <v>0</v>
      </c>
      <c r="G104" s="833">
        <f>'Compensation Details'!J57</f>
        <v>0</v>
      </c>
      <c r="H104" s="607" t="str">
        <f>IF(G104=0,"",IF(E104=0,100%,(G104-E104)/E104))</f>
        <v/>
      </c>
      <c r="I104" s="833">
        <f>+$G104/4</f>
        <v>0</v>
      </c>
      <c r="J104" s="833">
        <f>+$G104/4</f>
        <v>0</v>
      </c>
      <c r="K104" s="833">
        <f>+$G104/4</f>
        <v>0</v>
      </c>
      <c r="L104" s="833">
        <f>+$G104/4</f>
        <v>0</v>
      </c>
      <c r="M104" s="833">
        <f>IF(G104=0,0,G104/$G$5/12)</f>
        <v>0</v>
      </c>
      <c r="N104" s="840"/>
      <c r="O104" s="833">
        <f t="shared" si="36"/>
        <v>0</v>
      </c>
      <c r="P104" s="810">
        <f>IF(N104=0,0,(G104/N104))</f>
        <v>0</v>
      </c>
      <c r="Q104" s="817"/>
      <c r="R104" s="817"/>
    </row>
    <row r="105" spans="1:19" s="497" customFormat="1" x14ac:dyDescent="0.25">
      <c r="A105" s="496">
        <v>4580002</v>
      </c>
      <c r="B105" s="301">
        <v>4510015</v>
      </c>
      <c r="C105" s="646" t="s">
        <v>43</v>
      </c>
      <c r="D105" s="832">
        <v>4182</v>
      </c>
      <c r="E105" s="832">
        <v>4200</v>
      </c>
      <c r="F105" s="832">
        <v>4284</v>
      </c>
      <c r="G105" s="833">
        <f>'Line Items explanations'!H436</f>
        <v>4284</v>
      </c>
      <c r="H105" s="607">
        <f t="shared" si="32"/>
        <v>0.02</v>
      </c>
      <c r="I105" s="833">
        <f>+$G105/4</f>
        <v>1071</v>
      </c>
      <c r="J105" s="833">
        <f t="shared" si="34"/>
        <v>1071</v>
      </c>
      <c r="K105" s="833">
        <f t="shared" si="34"/>
        <v>1071</v>
      </c>
      <c r="L105" s="833">
        <f t="shared" si="34"/>
        <v>1071</v>
      </c>
      <c r="M105" s="833">
        <f t="shared" si="35"/>
        <v>22.3125</v>
      </c>
      <c r="N105" s="840"/>
      <c r="O105" s="833">
        <f t="shared" si="36"/>
        <v>0</v>
      </c>
      <c r="P105" s="810">
        <f t="shared" si="37"/>
        <v>0</v>
      </c>
      <c r="Q105" s="817"/>
      <c r="R105" s="817"/>
    </row>
    <row r="106" spans="1:19" s="497" customFormat="1" x14ac:dyDescent="0.25">
      <c r="A106" s="496">
        <v>4540003</v>
      </c>
      <c r="B106" s="301">
        <v>4520001</v>
      </c>
      <c r="C106" s="646" t="s">
        <v>41</v>
      </c>
      <c r="D106" s="832"/>
      <c r="E106" s="832"/>
      <c r="F106" s="832">
        <v>0</v>
      </c>
      <c r="G106" s="833">
        <f>'Line Items explanations'!H441</f>
        <v>0</v>
      </c>
      <c r="H106" s="607" t="str">
        <f t="shared" si="32"/>
        <v/>
      </c>
      <c r="I106" s="833">
        <f>+$G106/4</f>
        <v>0</v>
      </c>
      <c r="J106" s="833">
        <f t="shared" si="34"/>
        <v>0</v>
      </c>
      <c r="K106" s="833">
        <f t="shared" si="34"/>
        <v>0</v>
      </c>
      <c r="L106" s="833">
        <f t="shared" si="34"/>
        <v>0</v>
      </c>
      <c r="M106" s="833">
        <f t="shared" si="35"/>
        <v>0</v>
      </c>
      <c r="N106" s="840"/>
      <c r="O106" s="833">
        <f t="shared" si="36"/>
        <v>0</v>
      </c>
      <c r="P106" s="810">
        <f t="shared" si="37"/>
        <v>0</v>
      </c>
      <c r="Q106" s="817"/>
      <c r="R106" s="817"/>
    </row>
    <row r="107" spans="1:19" s="497" customFormat="1" ht="31.5" x14ac:dyDescent="0.25">
      <c r="A107" s="496"/>
      <c r="B107" s="301">
        <v>4540101.01</v>
      </c>
      <c r="C107" s="646" t="s">
        <v>46</v>
      </c>
      <c r="D107" s="832"/>
      <c r="E107" s="832">
        <v>100</v>
      </c>
      <c r="F107" s="832">
        <v>336</v>
      </c>
      <c r="G107" s="833">
        <f>'Line Items explanations'!H446</f>
        <v>336</v>
      </c>
      <c r="H107" s="607">
        <f t="shared" si="32"/>
        <v>2.36</v>
      </c>
      <c r="I107" s="833">
        <f>+$G107/4</f>
        <v>84</v>
      </c>
      <c r="J107" s="833">
        <f t="shared" si="34"/>
        <v>84</v>
      </c>
      <c r="K107" s="833">
        <f t="shared" si="34"/>
        <v>84</v>
      </c>
      <c r="L107" s="833">
        <f t="shared" si="34"/>
        <v>84</v>
      </c>
      <c r="M107" s="833">
        <f t="shared" si="35"/>
        <v>1.75</v>
      </c>
      <c r="N107" s="840"/>
      <c r="O107" s="833">
        <f t="shared" si="36"/>
        <v>0</v>
      </c>
      <c r="P107" s="810">
        <f t="shared" si="37"/>
        <v>0</v>
      </c>
      <c r="Q107" s="817" t="s">
        <v>738</v>
      </c>
      <c r="R107" s="817"/>
    </row>
    <row r="108" spans="1:19" s="497" customFormat="1" x14ac:dyDescent="0.2">
      <c r="A108" s="496"/>
      <c r="B108" s="496"/>
      <c r="C108" s="646" t="s">
        <v>53</v>
      </c>
      <c r="D108" s="832"/>
      <c r="E108" s="832"/>
      <c r="F108" s="832">
        <v>0</v>
      </c>
      <c r="G108" s="833">
        <f>'Line Items explanations'!H451</f>
        <v>0</v>
      </c>
      <c r="H108" s="607" t="str">
        <f t="shared" si="32"/>
        <v/>
      </c>
      <c r="I108" s="833">
        <f>+G108/4</f>
        <v>0</v>
      </c>
      <c r="J108" s="833">
        <f>+$G108/4</f>
        <v>0</v>
      </c>
      <c r="K108" s="833">
        <f>+$G108/4</f>
        <v>0</v>
      </c>
      <c r="L108" s="833">
        <f>+$G108/4</f>
        <v>0</v>
      </c>
      <c r="M108" s="833">
        <f t="shared" si="35"/>
        <v>0</v>
      </c>
      <c r="N108" s="840"/>
      <c r="O108" s="833">
        <f t="shared" si="36"/>
        <v>0</v>
      </c>
      <c r="P108" s="810">
        <f t="shared" si="37"/>
        <v>0</v>
      </c>
      <c r="Q108" s="817"/>
      <c r="R108" s="817"/>
    </row>
    <row r="109" spans="1:19" s="508" customFormat="1" x14ac:dyDescent="0.2">
      <c r="A109" s="503" t="s">
        <v>550</v>
      </c>
      <c r="B109" s="503"/>
      <c r="C109" s="609" t="s">
        <v>63</v>
      </c>
      <c r="D109" s="829">
        <f>SUM(D98:D108)</f>
        <v>17917.239999999998</v>
      </c>
      <c r="E109" s="829">
        <f>SUM(E98:E108)</f>
        <v>19936</v>
      </c>
      <c r="F109" s="829">
        <v>19762.8</v>
      </c>
      <c r="G109" s="829">
        <f>SUM(G98:G108)</f>
        <v>19762.8</v>
      </c>
      <c r="H109" s="606">
        <f t="shared" si="32"/>
        <v>-8.6878009630818979E-3</v>
      </c>
      <c r="I109" s="829">
        <f t="shared" ref="I109:O109" si="38">SUM(I98:I108)</f>
        <v>4940.7</v>
      </c>
      <c r="J109" s="829">
        <f t="shared" si="38"/>
        <v>4940.7</v>
      </c>
      <c r="K109" s="829">
        <f t="shared" si="38"/>
        <v>4940.7</v>
      </c>
      <c r="L109" s="829">
        <f t="shared" si="38"/>
        <v>4940.7</v>
      </c>
      <c r="M109" s="829">
        <f t="shared" si="38"/>
        <v>102.93125000000001</v>
      </c>
      <c r="N109" s="829">
        <f t="shared" si="38"/>
        <v>0</v>
      </c>
      <c r="O109" s="829">
        <f t="shared" si="38"/>
        <v>0</v>
      </c>
      <c r="P109" s="811">
        <f t="shared" si="37"/>
        <v>0</v>
      </c>
      <c r="Q109" s="817"/>
      <c r="R109" s="817"/>
      <c r="S109" s="507"/>
    </row>
    <row r="110" spans="1:19" s="502" customFormat="1" x14ac:dyDescent="0.2">
      <c r="A110" s="510"/>
      <c r="B110" s="510"/>
      <c r="C110" s="646"/>
      <c r="D110" s="833"/>
      <c r="E110" s="833"/>
      <c r="F110" s="833"/>
      <c r="G110" s="833"/>
      <c r="H110" s="607" t="str">
        <f t="shared" si="32"/>
        <v/>
      </c>
      <c r="I110" s="841"/>
      <c r="J110" s="841"/>
      <c r="K110" s="841"/>
      <c r="L110" s="841"/>
      <c r="M110" s="841"/>
      <c r="N110" s="841"/>
      <c r="O110" s="841"/>
      <c r="P110" s="813"/>
      <c r="Q110" s="817"/>
      <c r="R110" s="817"/>
      <c r="S110" s="497"/>
    </row>
    <row r="111" spans="1:19" s="508" customFormat="1" x14ac:dyDescent="0.2">
      <c r="A111" s="503" t="s">
        <v>550</v>
      </c>
      <c r="B111" s="503"/>
      <c r="C111" s="609" t="s">
        <v>50</v>
      </c>
      <c r="D111" s="829">
        <f>D44+D59+D88+D95+D109</f>
        <v>248444.71999999994</v>
      </c>
      <c r="E111" s="829">
        <f>E44+E59+E88+E95+E109</f>
        <v>132857</v>
      </c>
      <c r="F111" s="829">
        <v>299944.8</v>
      </c>
      <c r="G111" s="829">
        <f>G44+G59+G88+G95+G109</f>
        <v>299944.8</v>
      </c>
      <c r="H111" s="606">
        <f t="shared" ref="H111:H121" si="39">IF(G111=0,"",IF(E111=0,100%,(G111-E111)/E111))</f>
        <v>1.2576514598402793</v>
      </c>
      <c r="I111" s="829">
        <f t="shared" ref="I111:O111" si="40">+I44+I59+I88+I109+I95</f>
        <v>74986.2</v>
      </c>
      <c r="J111" s="829">
        <f t="shared" si="40"/>
        <v>74986.2</v>
      </c>
      <c r="K111" s="829">
        <f t="shared" si="40"/>
        <v>74986.2</v>
      </c>
      <c r="L111" s="829">
        <f t="shared" si="40"/>
        <v>74986.2</v>
      </c>
      <c r="M111" s="829">
        <f t="shared" si="40"/>
        <v>1562.2125000000001</v>
      </c>
      <c r="N111" s="829">
        <f t="shared" si="40"/>
        <v>0</v>
      </c>
      <c r="O111" s="829">
        <f t="shared" si="40"/>
        <v>0</v>
      </c>
      <c r="P111" s="811">
        <f>IF(N111=0,0,(G111/N111))</f>
        <v>0</v>
      </c>
      <c r="Q111" s="820"/>
      <c r="R111" s="820"/>
      <c r="S111" s="507"/>
    </row>
    <row r="112" spans="1:19" s="508" customFormat="1" x14ac:dyDescent="0.2">
      <c r="A112" s="503"/>
      <c r="B112" s="503"/>
      <c r="C112" s="643" t="s">
        <v>628</v>
      </c>
      <c r="D112" s="829"/>
      <c r="E112" s="829"/>
      <c r="F112" s="829"/>
      <c r="G112" s="829"/>
      <c r="H112" s="606"/>
      <c r="I112" s="829"/>
      <c r="J112" s="829"/>
      <c r="K112" s="829"/>
      <c r="L112" s="829"/>
      <c r="M112" s="829"/>
      <c r="N112" s="829"/>
      <c r="O112" s="829"/>
      <c r="P112" s="811"/>
      <c r="Q112" s="820"/>
      <c r="R112" s="820"/>
      <c r="S112" s="507"/>
    </row>
    <row r="113" spans="1:19" s="502" customFormat="1" x14ac:dyDescent="0.2">
      <c r="A113" s="510"/>
      <c r="B113" s="510"/>
      <c r="C113" s="828" t="s">
        <v>629</v>
      </c>
      <c r="D113" s="838"/>
      <c r="E113" s="838"/>
      <c r="F113" s="838">
        <v>-299944.8</v>
      </c>
      <c r="G113" s="829">
        <f>G112-G111</f>
        <v>-299944.8</v>
      </c>
      <c r="H113" s="607">
        <f t="shared" si="39"/>
        <v>1</v>
      </c>
      <c r="I113" s="841"/>
      <c r="J113" s="841"/>
      <c r="K113" s="841"/>
      <c r="L113" s="841"/>
      <c r="M113" s="841"/>
      <c r="N113" s="841"/>
      <c r="O113" s="841"/>
      <c r="P113" s="812"/>
      <c r="Q113" s="817"/>
      <c r="R113" s="817"/>
      <c r="S113" s="497"/>
    </row>
    <row r="114" spans="1:19" s="512" customFormat="1" x14ac:dyDescent="0.2">
      <c r="A114" s="503" t="s">
        <v>550</v>
      </c>
      <c r="B114" s="503"/>
      <c r="C114" s="644" t="s">
        <v>58</v>
      </c>
      <c r="D114" s="829">
        <f>+D15-D111</f>
        <v>-107977.20999999993</v>
      </c>
      <c r="E114" s="829">
        <f>+E15-E111</f>
        <v>8630</v>
      </c>
      <c r="F114" s="829">
        <v>-134828.34559999997</v>
      </c>
      <c r="G114" s="829">
        <f>+G15-G111</f>
        <v>-138339.68</v>
      </c>
      <c r="H114" s="606">
        <f t="shared" si="39"/>
        <v>-17.030090382387023</v>
      </c>
      <c r="I114" s="829">
        <f t="shared" ref="I114:O114" si="41">+I15-I111</f>
        <v>-34584.92</v>
      </c>
      <c r="J114" s="829">
        <f t="shared" si="41"/>
        <v>-34584.92</v>
      </c>
      <c r="K114" s="829">
        <f t="shared" si="41"/>
        <v>-34584.92</v>
      </c>
      <c r="L114" s="829">
        <f t="shared" si="41"/>
        <v>-34584.92</v>
      </c>
      <c r="M114" s="829">
        <f t="shared" si="41"/>
        <v>-720.51916666666671</v>
      </c>
      <c r="N114" s="829">
        <f t="shared" si="41"/>
        <v>0</v>
      </c>
      <c r="O114" s="829">
        <f t="shared" si="41"/>
        <v>0</v>
      </c>
      <c r="P114" s="811">
        <f>IF(N114=0,0,(G114/N114))</f>
        <v>0</v>
      </c>
      <c r="Q114" s="823"/>
      <c r="R114" s="823"/>
      <c r="S114" s="511"/>
    </row>
    <row r="115" spans="1:19" s="508" customFormat="1" x14ac:dyDescent="0.2">
      <c r="A115" s="513"/>
      <c r="B115" s="513"/>
      <c r="C115" s="609"/>
      <c r="D115" s="829"/>
      <c r="E115" s="829"/>
      <c r="F115" s="829"/>
      <c r="G115" s="506"/>
      <c r="H115" s="607"/>
      <c r="I115" s="829"/>
      <c r="J115" s="829"/>
      <c r="K115" s="829"/>
      <c r="L115" s="829"/>
      <c r="M115" s="829"/>
      <c r="N115" s="829"/>
      <c r="O115" s="829">
        <f>+O16-O113</f>
        <v>0</v>
      </c>
      <c r="P115" s="811">
        <f t="shared" ref="P115:P120" si="42">IF(N115=0,0,(G115/N115))</f>
        <v>0</v>
      </c>
      <c r="Q115" s="817"/>
      <c r="R115" s="817"/>
      <c r="S115" s="507"/>
    </row>
    <row r="116" spans="1:19" s="511" customFormat="1" x14ac:dyDescent="0.2">
      <c r="A116" s="514"/>
      <c r="B116" s="514"/>
      <c r="C116" s="648" t="s">
        <v>60</v>
      </c>
      <c r="D116" s="838"/>
      <c r="E116" s="838"/>
      <c r="F116" s="838"/>
      <c r="G116" s="515"/>
      <c r="H116" s="607"/>
      <c r="I116" s="838"/>
      <c r="J116" s="838"/>
      <c r="K116" s="838"/>
      <c r="L116" s="838"/>
      <c r="M116" s="838"/>
      <c r="N116" s="838"/>
      <c r="O116" s="829">
        <f>+O17-O114</f>
        <v>0</v>
      </c>
      <c r="P116" s="811">
        <f t="shared" si="42"/>
        <v>0</v>
      </c>
      <c r="Q116" s="823"/>
      <c r="R116" s="823"/>
    </row>
    <row r="117" spans="1:19" s="497" customFormat="1" x14ac:dyDescent="0.25">
      <c r="A117" s="496" t="s">
        <v>151</v>
      </c>
      <c r="B117" s="301" t="s">
        <v>151</v>
      </c>
      <c r="C117" s="649" t="s">
        <v>48</v>
      </c>
      <c r="D117" s="620">
        <v>7.3</v>
      </c>
      <c r="E117" s="620"/>
      <c r="F117" s="620">
        <v>4800</v>
      </c>
      <c r="G117" s="619">
        <f>(16*25)*12</f>
        <v>4800</v>
      </c>
      <c r="H117" s="607">
        <f t="shared" si="39"/>
        <v>1</v>
      </c>
      <c r="I117" s="841">
        <f>+$G$117/4</f>
        <v>1200</v>
      </c>
      <c r="J117" s="841">
        <f t="shared" ref="J117:L118" si="43">+$G117/4</f>
        <v>1200</v>
      </c>
      <c r="K117" s="841">
        <f t="shared" si="43"/>
        <v>1200</v>
      </c>
      <c r="L117" s="841">
        <f t="shared" si="43"/>
        <v>1200</v>
      </c>
      <c r="M117" s="833">
        <f>IF(G117=0,0,G117/$G$5/12)</f>
        <v>25</v>
      </c>
      <c r="N117" s="830"/>
      <c r="O117" s="829">
        <f>+O18-O115</f>
        <v>0</v>
      </c>
      <c r="P117" s="811">
        <f t="shared" si="42"/>
        <v>0</v>
      </c>
      <c r="Q117" s="817"/>
      <c r="R117" s="817"/>
    </row>
    <row r="118" spans="1:19" s="497" customFormat="1" x14ac:dyDescent="0.25">
      <c r="A118" s="496" t="s">
        <v>152</v>
      </c>
      <c r="B118" s="301" t="s">
        <v>152</v>
      </c>
      <c r="C118" s="649" t="s">
        <v>49</v>
      </c>
      <c r="D118" s="620">
        <v>0</v>
      </c>
      <c r="E118" s="620"/>
      <c r="F118" s="620"/>
      <c r="G118" s="619"/>
      <c r="H118" s="607" t="str">
        <f t="shared" si="39"/>
        <v/>
      </c>
      <c r="I118" s="841">
        <v>0</v>
      </c>
      <c r="J118" s="841">
        <f t="shared" si="43"/>
        <v>0</v>
      </c>
      <c r="K118" s="841">
        <f t="shared" si="43"/>
        <v>0</v>
      </c>
      <c r="L118" s="841">
        <f t="shared" si="43"/>
        <v>0</v>
      </c>
      <c r="M118" s="833">
        <f t="shared" ref="M118:M132" si="44">IF(G118=0,0,G118/$G$5/12)</f>
        <v>0</v>
      </c>
      <c r="N118" s="830"/>
      <c r="O118" s="829">
        <f>+O19-O116</f>
        <v>0</v>
      </c>
      <c r="P118" s="811">
        <f t="shared" si="42"/>
        <v>0</v>
      </c>
      <c r="Q118" s="817"/>
      <c r="R118" s="817"/>
    </row>
    <row r="119" spans="1:19" s="508" customFormat="1" x14ac:dyDescent="0.2">
      <c r="A119" s="513" t="s">
        <v>153</v>
      </c>
      <c r="B119" s="513"/>
      <c r="C119" s="609" t="s">
        <v>61</v>
      </c>
      <c r="D119" s="838">
        <f>(SUM(D117:D118))</f>
        <v>7.3</v>
      </c>
      <c r="E119" s="838">
        <f>(SUM(E117:E118))</f>
        <v>0</v>
      </c>
      <c r="F119" s="838">
        <v>4800</v>
      </c>
      <c r="G119" s="838">
        <f>(SUM(G117:G118))</f>
        <v>4800</v>
      </c>
      <c r="H119" s="606">
        <f t="shared" si="39"/>
        <v>1</v>
      </c>
      <c r="I119" s="838">
        <f t="shared" ref="I119:N119" si="45">SUM(I117:I118)</f>
        <v>1200</v>
      </c>
      <c r="J119" s="838">
        <f t="shared" si="45"/>
        <v>1200</v>
      </c>
      <c r="K119" s="838">
        <f t="shared" si="45"/>
        <v>1200</v>
      </c>
      <c r="L119" s="838">
        <f t="shared" si="45"/>
        <v>1200</v>
      </c>
      <c r="M119" s="833">
        <f t="shared" si="44"/>
        <v>25</v>
      </c>
      <c r="N119" s="838">
        <f t="shared" si="45"/>
        <v>0</v>
      </c>
      <c r="O119" s="829">
        <f>+O20-O117</f>
        <v>0</v>
      </c>
      <c r="P119" s="811">
        <f t="shared" si="42"/>
        <v>0</v>
      </c>
      <c r="Q119" s="823"/>
      <c r="R119" s="823"/>
      <c r="S119" s="507"/>
    </row>
    <row r="120" spans="1:19" s="508" customFormat="1" x14ac:dyDescent="0.2">
      <c r="A120" s="513"/>
      <c r="B120" s="513"/>
      <c r="C120" s="609"/>
      <c r="D120" s="838"/>
      <c r="E120" s="838"/>
      <c r="F120" s="838"/>
      <c r="G120" s="838"/>
      <c r="H120" s="606"/>
      <c r="I120" s="838"/>
      <c r="J120" s="838"/>
      <c r="K120" s="838"/>
      <c r="L120" s="838"/>
      <c r="M120" s="833"/>
      <c r="N120" s="838"/>
      <c r="O120" s="829"/>
      <c r="P120" s="811">
        <f t="shared" si="42"/>
        <v>0</v>
      </c>
      <c r="Q120" s="823"/>
      <c r="R120" s="823"/>
      <c r="S120" s="507"/>
    </row>
    <row r="121" spans="1:19" s="508" customFormat="1" x14ac:dyDescent="0.2">
      <c r="A121" s="513" t="s">
        <v>154</v>
      </c>
      <c r="B121" s="513"/>
      <c r="C121" s="609" t="s">
        <v>62</v>
      </c>
      <c r="D121" s="838">
        <f>+D114-D119</f>
        <v>-107984.50999999994</v>
      </c>
      <c r="E121" s="838">
        <f>+E114-E119</f>
        <v>8630</v>
      </c>
      <c r="F121" s="838">
        <v>-139628.34559999997</v>
      </c>
      <c r="G121" s="838">
        <f>+G114-G119</f>
        <v>-143139.68</v>
      </c>
      <c r="H121" s="606">
        <f t="shared" si="39"/>
        <v>-17.586289687137889</v>
      </c>
      <c r="I121" s="838">
        <f>+I114-I119</f>
        <v>-35784.92</v>
      </c>
      <c r="J121" s="838">
        <f>+J114-J119</f>
        <v>-35784.92</v>
      </c>
      <c r="K121" s="838">
        <f>+K114-K119</f>
        <v>-35784.92</v>
      </c>
      <c r="L121" s="838">
        <f>+L114-L119</f>
        <v>-35784.92</v>
      </c>
      <c r="M121" s="833">
        <f t="shared" si="44"/>
        <v>-745.51916666666659</v>
      </c>
      <c r="N121" s="838">
        <f>+N114-N119</f>
        <v>0</v>
      </c>
      <c r="O121" s="829">
        <f>+O22-O119</f>
        <v>0</v>
      </c>
      <c r="P121" s="811">
        <f>IF(N121=0,0,(G121/N121))</f>
        <v>0</v>
      </c>
      <c r="Q121" s="823"/>
      <c r="R121" s="823"/>
      <c r="S121" s="507"/>
    </row>
    <row r="122" spans="1:19" s="508" customFormat="1" x14ac:dyDescent="0.2">
      <c r="A122" s="513"/>
      <c r="B122" s="513"/>
      <c r="C122" s="609"/>
      <c r="D122" s="838"/>
      <c r="E122" s="838"/>
      <c r="F122" s="838"/>
      <c r="G122" s="839"/>
      <c r="H122" s="606"/>
      <c r="I122" s="838"/>
      <c r="J122" s="838"/>
      <c r="K122" s="838"/>
      <c r="L122" s="838"/>
      <c r="M122" s="833">
        <f t="shared" si="44"/>
        <v>0</v>
      </c>
      <c r="N122" s="838"/>
      <c r="O122" s="829"/>
      <c r="P122" s="811"/>
      <c r="Q122" s="823"/>
      <c r="R122" s="823"/>
      <c r="S122" s="507"/>
    </row>
    <row r="123" spans="1:19" s="508" customFormat="1" x14ac:dyDescent="0.2">
      <c r="A123" s="513" t="s">
        <v>150</v>
      </c>
      <c r="B123" s="513"/>
      <c r="C123" s="609" t="s">
        <v>59</v>
      </c>
      <c r="D123" s="829">
        <f>+D111/$D$5</f>
        <v>15527.794999999996</v>
      </c>
      <c r="E123" s="829">
        <f>+E111/$E$5</f>
        <v>8303.5625</v>
      </c>
      <c r="F123" s="829">
        <v>18746.55</v>
      </c>
      <c r="G123" s="829">
        <f>+G111/$G$5</f>
        <v>18746.55</v>
      </c>
      <c r="H123" s="639">
        <f>IF(G123=0,"",IF(E123=0,100%,(G123-E123)/E123))</f>
        <v>1.2576514598402793</v>
      </c>
      <c r="I123" s="829">
        <f>+I111/$G$5</f>
        <v>4686.6374999999998</v>
      </c>
      <c r="J123" s="829">
        <f>+J111/$G$5</f>
        <v>4686.6374999999998</v>
      </c>
      <c r="K123" s="829">
        <f>+K111/$G$5</f>
        <v>4686.6374999999998</v>
      </c>
      <c r="L123" s="829">
        <f>+L111/$G$5</f>
        <v>4686.6374999999998</v>
      </c>
      <c r="M123" s="833">
        <f t="shared" si="44"/>
        <v>97.638281249999991</v>
      </c>
      <c r="N123" s="829">
        <f>+N111/$G$5</f>
        <v>0</v>
      </c>
      <c r="O123" s="829">
        <f>+O24-O121</f>
        <v>0</v>
      </c>
      <c r="P123" s="811">
        <f>IF(N123=0,0,(G123/N123))</f>
        <v>0</v>
      </c>
      <c r="Q123" s="817"/>
      <c r="R123" s="817"/>
      <c r="S123" s="507"/>
    </row>
    <row r="124" spans="1:19" s="508" customFormat="1" x14ac:dyDescent="0.2">
      <c r="A124" s="513"/>
      <c r="B124" s="513"/>
      <c r="C124" s="609"/>
      <c r="D124" s="838"/>
      <c r="E124" s="838"/>
      <c r="F124" s="838"/>
      <c r="G124" s="838"/>
      <c r="H124" s="606"/>
      <c r="I124" s="838"/>
      <c r="J124" s="838"/>
      <c r="K124" s="838"/>
      <c r="L124" s="838"/>
      <c r="M124" s="833"/>
      <c r="N124" s="833"/>
      <c r="O124" s="829"/>
      <c r="P124" s="811"/>
      <c r="Q124" s="823"/>
      <c r="R124" s="823"/>
      <c r="S124" s="507"/>
    </row>
    <row r="125" spans="1:19" s="508" customFormat="1" x14ac:dyDescent="0.2">
      <c r="A125" s="513"/>
      <c r="B125" s="513"/>
      <c r="C125" s="650"/>
      <c r="D125" s="657"/>
      <c r="E125" s="657"/>
      <c r="F125" s="657"/>
      <c r="G125" s="651"/>
      <c r="H125" s="652"/>
      <c r="I125" s="651"/>
      <c r="J125" s="651"/>
      <c r="K125" s="651"/>
      <c r="L125" s="651"/>
      <c r="M125" s="792">
        <f t="shared" si="44"/>
        <v>0</v>
      </c>
      <c r="N125" s="653"/>
      <c r="O125" s="793">
        <f>+O26-O123</f>
        <v>0</v>
      </c>
      <c r="P125" s="814"/>
      <c r="Q125" s="823"/>
      <c r="R125" s="823"/>
      <c r="S125" s="507"/>
    </row>
    <row r="126" spans="1:19" s="497" customFormat="1" x14ac:dyDescent="0.2">
      <c r="A126" s="496"/>
      <c r="B126" s="496"/>
      <c r="C126" s="654" t="s">
        <v>553</v>
      </c>
      <c r="D126" s="516"/>
      <c r="E126" s="516"/>
      <c r="F126" s="516"/>
      <c r="G126" s="843"/>
      <c r="H126" s="607" t="str">
        <f t="shared" ref="H126:H133" si="46">IF(G126=0,"",IF(E126=0,100%,(G126-E126)/E126))</f>
        <v/>
      </c>
      <c r="I126" s="841"/>
      <c r="J126" s="841"/>
      <c r="K126" s="841"/>
      <c r="L126" s="841"/>
      <c r="M126" s="833"/>
      <c r="N126" s="833"/>
      <c r="O126" s="829"/>
      <c r="P126" s="812"/>
      <c r="Q126" s="817"/>
      <c r="R126" s="817"/>
    </row>
    <row r="127" spans="1:19" s="497" customFormat="1" x14ac:dyDescent="0.2">
      <c r="A127" s="496"/>
      <c r="B127" s="496"/>
      <c r="C127" s="655" t="s">
        <v>632</v>
      </c>
      <c r="D127" s="516"/>
      <c r="E127" s="516"/>
      <c r="F127" s="516"/>
      <c r="G127" s="843"/>
      <c r="H127" s="607" t="str">
        <f t="shared" si="46"/>
        <v/>
      </c>
      <c r="I127" s="841">
        <f>+$G$127/4</f>
        <v>0</v>
      </c>
      <c r="J127" s="841">
        <f>+$G$127/4</f>
        <v>0</v>
      </c>
      <c r="K127" s="841">
        <f>+$G$127/4</f>
        <v>0</v>
      </c>
      <c r="L127" s="841">
        <f>+$G$127/4</f>
        <v>0</v>
      </c>
      <c r="M127" s="833">
        <f t="shared" si="44"/>
        <v>0</v>
      </c>
      <c r="N127" s="842"/>
      <c r="O127" s="829">
        <f t="shared" ref="O127:O132" si="47">+O28-O125</f>
        <v>0</v>
      </c>
      <c r="P127" s="811">
        <f t="shared" ref="P127:P132" si="48">IF(N127=0,0,(G127/N127))</f>
        <v>0</v>
      </c>
      <c r="Q127" s="817"/>
      <c r="R127" s="817"/>
    </row>
    <row r="128" spans="1:19" s="497" customFormat="1" ht="31.5" hidden="1" x14ac:dyDescent="0.2">
      <c r="A128" s="496" t="s">
        <v>149</v>
      </c>
      <c r="B128" s="496"/>
      <c r="C128" s="825" t="s">
        <v>627</v>
      </c>
      <c r="D128" s="517"/>
      <c r="E128" s="517"/>
      <c r="F128" s="517"/>
      <c r="G128" s="844">
        <v>0</v>
      </c>
      <c r="H128" s="607" t="str">
        <f t="shared" si="46"/>
        <v/>
      </c>
      <c r="I128" s="841">
        <f>+$G$128/4</f>
        <v>0</v>
      </c>
      <c r="J128" s="841">
        <f>+$G$128/4</f>
        <v>0</v>
      </c>
      <c r="K128" s="841">
        <f>+$G$128/4</f>
        <v>0</v>
      </c>
      <c r="L128" s="841">
        <f>+$G$128/4</f>
        <v>0</v>
      </c>
      <c r="M128" s="833">
        <f t="shared" si="44"/>
        <v>0</v>
      </c>
      <c r="N128" s="840"/>
      <c r="O128" s="829">
        <f t="shared" si="47"/>
        <v>0</v>
      </c>
      <c r="P128" s="811">
        <f t="shared" si="48"/>
        <v>0</v>
      </c>
      <c r="Q128" s="817"/>
      <c r="R128" s="817"/>
    </row>
    <row r="129" spans="1:19" s="497" customFormat="1" ht="31.5" x14ac:dyDescent="0.2">
      <c r="A129" s="496"/>
      <c r="B129" s="496"/>
      <c r="C129" s="825" t="s">
        <v>633</v>
      </c>
      <c r="D129" s="516"/>
      <c r="E129" s="516"/>
      <c r="F129" s="516"/>
      <c r="G129" s="843"/>
      <c r="H129" s="607" t="str">
        <f>IF(G129=0,"",IF(E129=0,100%,(G129-E129)/E129))</f>
        <v/>
      </c>
      <c r="I129" s="841">
        <f>+$G$129/4</f>
        <v>0</v>
      </c>
      <c r="J129" s="841">
        <f>+$G$129/4</f>
        <v>0</v>
      </c>
      <c r="K129" s="841">
        <f>+$G$129/4</f>
        <v>0</v>
      </c>
      <c r="L129" s="841">
        <f>+$G$129/4</f>
        <v>0</v>
      </c>
      <c r="M129" s="833">
        <f t="shared" si="44"/>
        <v>0</v>
      </c>
      <c r="N129" s="842"/>
      <c r="O129" s="829">
        <f t="shared" si="47"/>
        <v>0</v>
      </c>
      <c r="P129" s="811">
        <f t="shared" si="48"/>
        <v>0</v>
      </c>
      <c r="Q129" s="820"/>
      <c r="R129" s="820"/>
    </row>
    <row r="130" spans="1:19" s="497" customFormat="1" ht="31.5" x14ac:dyDescent="0.2">
      <c r="A130" s="496"/>
      <c r="B130" s="496"/>
      <c r="C130" s="825" t="s">
        <v>634</v>
      </c>
      <c r="D130" s="518"/>
      <c r="E130" s="518"/>
      <c r="F130" s="518"/>
      <c r="G130" s="844"/>
      <c r="H130" s="607" t="str">
        <f t="shared" si="46"/>
        <v/>
      </c>
      <c r="I130" s="841">
        <f>+$G$130/4</f>
        <v>0</v>
      </c>
      <c r="J130" s="841">
        <f>+$G$130/4</f>
        <v>0</v>
      </c>
      <c r="K130" s="841">
        <f>+$G$130/4</f>
        <v>0</v>
      </c>
      <c r="L130" s="841">
        <f>+$G$130/4</f>
        <v>0</v>
      </c>
      <c r="M130" s="833">
        <f t="shared" si="44"/>
        <v>0</v>
      </c>
      <c r="N130" s="840"/>
      <c r="O130" s="829">
        <f t="shared" si="47"/>
        <v>0</v>
      </c>
      <c r="P130" s="811">
        <f t="shared" si="48"/>
        <v>0</v>
      </c>
      <c r="Q130" s="823"/>
      <c r="R130" s="823"/>
      <c r="S130" s="511"/>
    </row>
    <row r="131" spans="1:19" s="497" customFormat="1" ht="31.5" x14ac:dyDescent="0.2">
      <c r="A131" s="496"/>
      <c r="B131" s="496"/>
      <c r="C131" s="825" t="s">
        <v>635</v>
      </c>
      <c r="D131" s="518"/>
      <c r="E131" s="518"/>
      <c r="F131" s="518"/>
      <c r="G131" s="844"/>
      <c r="H131" s="607" t="str">
        <f t="shared" si="46"/>
        <v/>
      </c>
      <c r="I131" s="841">
        <f>+$G$131/4</f>
        <v>0</v>
      </c>
      <c r="J131" s="841">
        <f>+$G$131/4</f>
        <v>0</v>
      </c>
      <c r="K131" s="841">
        <f>+$G$131/4</f>
        <v>0</v>
      </c>
      <c r="L131" s="841">
        <f>+$G$131/4</f>
        <v>0</v>
      </c>
      <c r="M131" s="833">
        <f t="shared" si="44"/>
        <v>0</v>
      </c>
      <c r="N131" s="840"/>
      <c r="O131" s="829">
        <f t="shared" si="47"/>
        <v>0</v>
      </c>
      <c r="P131" s="811">
        <f t="shared" si="48"/>
        <v>0</v>
      </c>
      <c r="Q131" s="820"/>
      <c r="R131" s="820"/>
    </row>
    <row r="132" spans="1:19" s="497" customFormat="1" x14ac:dyDescent="0.2">
      <c r="A132" s="496"/>
      <c r="B132" s="496"/>
      <c r="C132" s="656" t="s">
        <v>636</v>
      </c>
      <c r="D132" s="518"/>
      <c r="E132" s="518"/>
      <c r="F132" s="518"/>
      <c r="G132" s="845">
        <f>G127+G128+G129-G130-G131</f>
        <v>0</v>
      </c>
      <c r="H132" s="607" t="str">
        <f t="shared" si="46"/>
        <v/>
      </c>
      <c r="I132" s="841">
        <f>+$G$132/4</f>
        <v>0</v>
      </c>
      <c r="J132" s="841">
        <f>+$G$132/4</f>
        <v>0</v>
      </c>
      <c r="K132" s="841">
        <f>+$G$132/4</f>
        <v>0</v>
      </c>
      <c r="L132" s="841">
        <f>+$G$132/4</f>
        <v>0</v>
      </c>
      <c r="M132" s="833">
        <f t="shared" si="44"/>
        <v>0</v>
      </c>
      <c r="N132" s="840"/>
      <c r="O132" s="829">
        <f t="shared" si="47"/>
        <v>0</v>
      </c>
      <c r="P132" s="811">
        <f t="shared" si="48"/>
        <v>0</v>
      </c>
      <c r="Q132" s="820"/>
      <c r="R132" s="820"/>
    </row>
    <row r="133" spans="1:19" s="179" customFormat="1" x14ac:dyDescent="0.25">
      <c r="A133" s="488"/>
      <c r="B133" s="488"/>
      <c r="C133" s="611" t="s">
        <v>554</v>
      </c>
      <c r="D133" s="658"/>
      <c r="E133" s="658"/>
      <c r="F133" s="658"/>
      <c r="G133" s="846">
        <f>G121+G132</f>
        <v>-143139.68</v>
      </c>
      <c r="H133" s="639">
        <f t="shared" si="46"/>
        <v>1</v>
      </c>
      <c r="I133" s="846">
        <f t="shared" ref="I133:P133" si="49">I121+I132</f>
        <v>-35784.92</v>
      </c>
      <c r="J133" s="846">
        <f t="shared" si="49"/>
        <v>-35784.92</v>
      </c>
      <c r="K133" s="846">
        <f t="shared" si="49"/>
        <v>-35784.92</v>
      </c>
      <c r="L133" s="846">
        <f t="shared" si="49"/>
        <v>-35784.92</v>
      </c>
      <c r="M133" s="846">
        <f t="shared" si="49"/>
        <v>-745.51916666666659</v>
      </c>
      <c r="N133" s="846">
        <f t="shared" si="49"/>
        <v>0</v>
      </c>
      <c r="O133" s="846">
        <f t="shared" si="49"/>
        <v>0</v>
      </c>
      <c r="P133" s="815">
        <f t="shared" si="49"/>
        <v>0</v>
      </c>
      <c r="Q133" s="824"/>
      <c r="R133" s="824"/>
      <c r="S133" s="181"/>
    </row>
    <row r="134" spans="1:19" s="179" customFormat="1" x14ac:dyDescent="0.25">
      <c r="A134" s="488"/>
      <c r="B134" s="488"/>
      <c r="C134" s="610"/>
      <c r="D134" s="494"/>
      <c r="E134" s="494"/>
      <c r="F134" s="494"/>
      <c r="G134" s="494"/>
      <c r="H134" s="608"/>
      <c r="I134" s="494"/>
      <c r="J134" s="494"/>
      <c r="K134" s="494"/>
      <c r="L134" s="494"/>
      <c r="M134" s="494"/>
      <c r="N134" s="495"/>
      <c r="O134" s="494"/>
      <c r="P134" s="635"/>
      <c r="Q134" s="824"/>
      <c r="R134" s="824"/>
      <c r="S134" s="181"/>
    </row>
    <row r="135" spans="1:19" s="133" customFormat="1" ht="21" x14ac:dyDescent="0.35">
      <c r="A135" s="489"/>
      <c r="B135" s="489"/>
      <c r="C135" s="659" t="s">
        <v>618</v>
      </c>
      <c r="D135" s="780"/>
      <c r="E135" s="780"/>
      <c r="F135" s="780"/>
      <c r="G135" s="617"/>
      <c r="H135" s="617"/>
      <c r="I135" s="617"/>
      <c r="J135" s="617"/>
      <c r="K135" s="617"/>
      <c r="L135" s="629"/>
      <c r="M135" s="617"/>
      <c r="N135" s="105"/>
      <c r="O135" s="617"/>
      <c r="P135" s="629"/>
      <c r="Q135" s="824"/>
      <c r="R135" s="824"/>
      <c r="S135" s="130"/>
    </row>
    <row r="136" spans="1:19" s="133" customFormat="1" ht="16.5" thickBot="1" x14ac:dyDescent="0.3">
      <c r="A136" s="489"/>
      <c r="B136" s="489"/>
      <c r="C136" s="612" t="s">
        <v>544</v>
      </c>
      <c r="D136" s="630"/>
      <c r="E136" s="630"/>
      <c r="F136" s="630"/>
      <c r="G136" s="617"/>
      <c r="H136" s="630"/>
      <c r="I136" s="617"/>
      <c r="J136" s="617"/>
      <c r="K136" s="617"/>
      <c r="L136" s="879" t="s">
        <v>637</v>
      </c>
      <c r="M136" s="879"/>
      <c r="N136" s="879"/>
      <c r="O136" s="617"/>
      <c r="P136" s="629"/>
      <c r="Q136" s="824"/>
      <c r="R136" s="824"/>
      <c r="S136" s="130"/>
    </row>
    <row r="137" spans="1:19" s="133" customFormat="1" x14ac:dyDescent="0.25">
      <c r="A137" s="490"/>
      <c r="B137" s="490"/>
      <c r="C137" s="613"/>
      <c r="D137" s="781"/>
      <c r="E137" s="781"/>
      <c r="F137" s="781"/>
      <c r="G137" s="877" t="str">
        <f>C15</f>
        <v>TOTAL REVENUE</v>
      </c>
      <c r="H137" s="878"/>
      <c r="I137" s="631"/>
      <c r="J137" s="865">
        <f>G15</f>
        <v>161605.12</v>
      </c>
      <c r="K137" s="866"/>
      <c r="L137" s="629"/>
      <c r="M137" s="806"/>
      <c r="N137" s="806">
        <v>0</v>
      </c>
      <c r="O137" s="617"/>
      <c r="P137" s="629"/>
      <c r="Q137" s="824"/>
      <c r="R137" s="824"/>
      <c r="S137" s="130"/>
    </row>
    <row r="138" spans="1:19" s="133" customFormat="1" x14ac:dyDescent="0.25">
      <c r="A138" s="491"/>
      <c r="B138" s="491"/>
      <c r="C138" s="613" t="s">
        <v>545</v>
      </c>
      <c r="D138" s="781"/>
      <c r="E138" s="781"/>
      <c r="F138" s="781"/>
      <c r="G138" s="632" t="str">
        <f>C111</f>
        <v>TOTAL EXPENSES</v>
      </c>
      <c r="H138" s="633"/>
      <c r="I138" s="633"/>
      <c r="J138" s="867">
        <f>G111</f>
        <v>299944.8</v>
      </c>
      <c r="K138" s="868"/>
      <c r="L138" s="629"/>
      <c r="M138" s="494"/>
      <c r="N138" s="494">
        <v>0</v>
      </c>
      <c r="O138" s="617"/>
      <c r="P138" s="629"/>
      <c r="Q138" s="824"/>
      <c r="R138" s="824"/>
      <c r="S138" s="130"/>
    </row>
    <row r="139" spans="1:19" s="133" customFormat="1" ht="16.5" thickBot="1" x14ac:dyDescent="0.3">
      <c r="A139" s="489"/>
      <c r="B139" s="489"/>
      <c r="C139" s="613"/>
      <c r="D139" s="617"/>
      <c r="E139" s="617"/>
      <c r="F139" s="617"/>
      <c r="G139" s="632" t="s">
        <v>620</v>
      </c>
      <c r="H139" s="633"/>
      <c r="I139" s="633"/>
      <c r="J139" s="867">
        <f>G114</f>
        <v>-138339.68</v>
      </c>
      <c r="K139" s="868"/>
      <c r="L139" s="629"/>
      <c r="M139" s="494"/>
      <c r="N139" s="807">
        <f>N137-N138</f>
        <v>0</v>
      </c>
      <c r="O139" s="617"/>
      <c r="P139" s="629"/>
      <c r="Q139" s="824"/>
      <c r="R139" s="824"/>
      <c r="S139" s="130"/>
    </row>
    <row r="140" spans="1:19" s="133" customFormat="1" ht="16.5" thickTop="1" x14ac:dyDescent="0.25">
      <c r="A140" s="489"/>
      <c r="B140" s="489"/>
      <c r="C140" s="612" t="s">
        <v>558</v>
      </c>
      <c r="D140" s="618"/>
      <c r="E140" s="618"/>
      <c r="F140" s="618"/>
      <c r="G140" s="875" t="s">
        <v>619</v>
      </c>
      <c r="H140" s="876"/>
      <c r="I140" s="633"/>
      <c r="J140" s="867">
        <f>G128+G129</f>
        <v>0</v>
      </c>
      <c r="K140" s="868"/>
      <c r="L140" s="629"/>
      <c r="M140" s="494"/>
      <c r="N140" s="494">
        <v>0</v>
      </c>
      <c r="O140" s="618"/>
      <c r="P140" s="636"/>
      <c r="Q140" s="824"/>
      <c r="R140" s="824"/>
      <c r="S140" s="130"/>
    </row>
    <row r="141" spans="1:19" s="133" customFormat="1" x14ac:dyDescent="0.25">
      <c r="A141" s="489"/>
      <c r="B141" s="489"/>
      <c r="C141" s="612"/>
      <c r="D141" s="618"/>
      <c r="E141" s="618"/>
      <c r="F141" s="618"/>
      <c r="G141" s="875" t="s">
        <v>621</v>
      </c>
      <c r="H141" s="876"/>
      <c r="I141" s="633"/>
      <c r="J141" s="867">
        <f>G133</f>
        <v>-143139.68</v>
      </c>
      <c r="K141" s="868"/>
      <c r="L141" s="629"/>
      <c r="M141" s="494"/>
      <c r="N141" s="808">
        <f>N139-N140</f>
        <v>0</v>
      </c>
      <c r="O141" s="618"/>
      <c r="P141" s="636"/>
      <c r="Q141" s="824"/>
      <c r="R141" s="824"/>
      <c r="S141" s="130"/>
    </row>
    <row r="142" spans="1:19" s="133" customFormat="1" ht="16.5" thickBot="1" x14ac:dyDescent="0.3">
      <c r="A142" s="489"/>
      <c r="B142" s="489"/>
      <c r="C142" s="612" t="s">
        <v>546</v>
      </c>
      <c r="D142" s="782"/>
      <c r="E142" s="782"/>
      <c r="F142" s="782"/>
      <c r="G142" s="863"/>
      <c r="H142" s="864"/>
      <c r="I142" s="634"/>
      <c r="J142" s="869"/>
      <c r="K142" s="870"/>
      <c r="L142" s="629"/>
      <c r="M142" s="618"/>
      <c r="N142" s="105"/>
      <c r="O142" s="618"/>
      <c r="P142" s="636"/>
      <c r="Q142" s="824"/>
      <c r="R142" s="824"/>
      <c r="S142" s="130"/>
    </row>
    <row r="143" spans="1:19" s="133" customFormat="1" x14ac:dyDescent="0.25">
      <c r="A143" s="489"/>
      <c r="B143" s="489"/>
      <c r="C143" s="614"/>
      <c r="D143" s="782"/>
      <c r="E143" s="782"/>
      <c r="F143" s="782"/>
      <c r="G143" s="617"/>
      <c r="H143" s="618"/>
      <c r="I143" s="618"/>
      <c r="J143" s="618"/>
      <c r="K143" s="618"/>
      <c r="L143" s="629"/>
      <c r="M143" s="618"/>
      <c r="N143" s="105"/>
      <c r="O143" s="618"/>
      <c r="P143" s="636"/>
      <c r="Q143" s="824"/>
      <c r="R143" s="824"/>
      <c r="S143" s="130"/>
    </row>
    <row r="144" spans="1:19" s="133" customFormat="1" x14ac:dyDescent="0.25">
      <c r="A144" s="489"/>
      <c r="B144" s="489"/>
      <c r="C144" s="404"/>
      <c r="D144" s="621"/>
      <c r="E144" s="621"/>
      <c r="F144" s="621"/>
      <c r="G144" s="622"/>
      <c r="H144" s="623"/>
      <c r="I144" s="623"/>
      <c r="J144" s="623"/>
      <c r="K144" s="623"/>
      <c r="L144" s="624"/>
      <c r="M144" s="625"/>
      <c r="N144" s="622"/>
      <c r="O144" s="625"/>
      <c r="P144" s="637"/>
      <c r="Q144" s="353"/>
      <c r="R144" s="353"/>
      <c r="S144" s="130"/>
    </row>
    <row r="145" spans="1:19" s="133" customFormat="1" x14ac:dyDescent="0.25">
      <c r="A145" s="489"/>
      <c r="B145" s="489"/>
      <c r="C145" s="404"/>
      <c r="D145" s="621"/>
      <c r="E145" s="621"/>
      <c r="F145" s="621"/>
      <c r="G145" s="622"/>
      <c r="H145" s="623"/>
      <c r="I145" s="623"/>
      <c r="J145" s="623"/>
      <c r="K145" s="623"/>
      <c r="L145" s="624"/>
      <c r="M145" s="625"/>
      <c r="N145" s="622"/>
      <c r="O145" s="625"/>
      <c r="P145" s="637"/>
      <c r="Q145" s="353"/>
      <c r="R145" s="353"/>
      <c r="S145" s="130"/>
    </row>
    <row r="146" spans="1:19" s="133" customFormat="1" x14ac:dyDescent="0.25">
      <c r="A146" s="489"/>
      <c r="B146" s="489"/>
      <c r="C146" s="404"/>
      <c r="D146" s="626"/>
      <c r="E146" s="626"/>
      <c r="F146" s="626"/>
      <c r="G146" s="622"/>
      <c r="H146" s="622"/>
      <c r="I146" s="622"/>
      <c r="J146" s="622"/>
      <c r="K146" s="622"/>
      <c r="L146" s="624"/>
      <c r="M146" s="627"/>
      <c r="N146" s="622"/>
      <c r="O146" s="627"/>
      <c r="P146" s="638"/>
      <c r="Q146" s="353"/>
      <c r="R146" s="353"/>
      <c r="S146" s="130"/>
    </row>
    <row r="147" spans="1:19" s="133" customFormat="1" x14ac:dyDescent="0.25">
      <c r="A147" s="489"/>
      <c r="B147" s="489"/>
      <c r="C147" s="404"/>
      <c r="D147" s="626"/>
      <c r="E147" s="626"/>
      <c r="F147" s="626"/>
      <c r="G147" s="622"/>
      <c r="H147" s="622"/>
      <c r="I147" s="622"/>
      <c r="J147" s="622"/>
      <c r="K147" s="622"/>
      <c r="L147" s="624"/>
      <c r="M147" s="627"/>
      <c r="N147" s="622"/>
      <c r="O147" s="627"/>
      <c r="P147" s="638"/>
      <c r="Q147" s="353"/>
      <c r="R147" s="353"/>
      <c r="S147" s="130"/>
    </row>
    <row r="148" spans="1:19" s="133" customFormat="1" x14ac:dyDescent="0.25">
      <c r="A148" s="489"/>
      <c r="B148" s="489"/>
      <c r="C148" s="404"/>
      <c r="D148" s="626"/>
      <c r="E148" s="626"/>
      <c r="F148" s="626"/>
      <c r="G148" s="622"/>
      <c r="H148" s="622"/>
      <c r="I148" s="622"/>
      <c r="J148" s="622"/>
      <c r="K148" s="622"/>
      <c r="L148" s="624"/>
      <c r="M148" s="627"/>
      <c r="N148" s="622"/>
      <c r="O148" s="627"/>
      <c r="P148" s="638"/>
      <c r="Q148" s="353"/>
      <c r="R148" s="353"/>
      <c r="S148" s="130"/>
    </row>
    <row r="149" spans="1:19" s="133" customFormat="1" x14ac:dyDescent="0.25">
      <c r="A149" s="489"/>
      <c r="B149" s="489"/>
      <c r="C149" s="404"/>
      <c r="D149" s="626"/>
      <c r="E149" s="626"/>
      <c r="F149" s="626"/>
      <c r="G149" s="622"/>
      <c r="H149" s="622"/>
      <c r="I149" s="622"/>
      <c r="J149" s="622"/>
      <c r="K149" s="622"/>
      <c r="L149" s="624"/>
      <c r="M149" s="627"/>
      <c r="N149" s="622"/>
      <c r="O149" s="627"/>
      <c r="P149" s="638"/>
      <c r="Q149" s="353"/>
      <c r="R149" s="353"/>
      <c r="S149" s="130"/>
    </row>
    <row r="150" spans="1:19" s="133" customFormat="1" x14ac:dyDescent="0.25">
      <c r="A150" s="489"/>
      <c r="B150" s="489"/>
      <c r="C150" s="404"/>
      <c r="D150" s="626"/>
      <c r="E150" s="626"/>
      <c r="F150" s="626"/>
      <c r="G150" s="622"/>
      <c r="H150" s="622"/>
      <c r="I150" s="622"/>
      <c r="J150" s="622"/>
      <c r="K150" s="622"/>
      <c r="L150" s="624"/>
      <c r="M150" s="627"/>
      <c r="N150" s="622"/>
      <c r="O150" s="627"/>
      <c r="P150" s="638"/>
      <c r="Q150" s="353"/>
      <c r="R150" s="353"/>
      <c r="S150" s="130"/>
    </row>
    <row r="151" spans="1:19" s="133" customFormat="1" x14ac:dyDescent="0.25">
      <c r="A151" s="489"/>
      <c r="B151" s="489"/>
      <c r="C151" s="404"/>
      <c r="D151" s="626"/>
      <c r="E151" s="626"/>
      <c r="F151" s="626"/>
      <c r="G151" s="622"/>
      <c r="H151" s="622"/>
      <c r="I151" s="622"/>
      <c r="J151" s="622"/>
      <c r="K151" s="622"/>
      <c r="L151" s="624"/>
      <c r="M151" s="627"/>
      <c r="N151" s="622"/>
      <c r="O151" s="627"/>
      <c r="P151" s="638"/>
      <c r="Q151" s="353"/>
      <c r="R151" s="353"/>
      <c r="S151" s="130"/>
    </row>
    <row r="152" spans="1:19" s="133" customFormat="1" x14ac:dyDescent="0.25">
      <c r="A152" s="489"/>
      <c r="B152" s="489"/>
      <c r="C152" s="404"/>
      <c r="D152" s="626"/>
      <c r="E152" s="626"/>
      <c r="F152" s="626"/>
      <c r="G152" s="622"/>
      <c r="H152" s="622"/>
      <c r="I152" s="622"/>
      <c r="J152" s="622"/>
      <c r="K152" s="622"/>
      <c r="L152" s="624"/>
      <c r="M152" s="627"/>
      <c r="N152" s="622"/>
      <c r="O152" s="627"/>
      <c r="P152" s="638"/>
      <c r="Q152" s="353"/>
      <c r="R152" s="353"/>
      <c r="S152" s="130"/>
    </row>
    <row r="153" spans="1:19" s="133" customFormat="1" x14ac:dyDescent="0.25">
      <c r="A153" s="489"/>
      <c r="B153" s="489"/>
      <c r="C153" s="404"/>
      <c r="D153" s="626"/>
      <c r="E153" s="626"/>
      <c r="F153" s="626"/>
      <c r="G153" s="217"/>
      <c r="H153" s="622"/>
      <c r="I153" s="622"/>
      <c r="J153" s="622"/>
      <c r="K153" s="622"/>
      <c r="L153" s="624"/>
      <c r="M153" s="627"/>
      <c r="N153" s="136"/>
      <c r="O153" s="622"/>
      <c r="P153" s="624"/>
      <c r="Q153" s="353"/>
      <c r="R153" s="353"/>
      <c r="S153" s="130"/>
    </row>
    <row r="154" spans="1:19" s="133" customFormat="1" x14ac:dyDescent="0.25">
      <c r="A154" s="489"/>
      <c r="B154" s="489"/>
      <c r="C154" s="404"/>
      <c r="D154" s="626"/>
      <c r="E154" s="626"/>
      <c r="F154" s="626"/>
      <c r="G154" s="217"/>
      <c r="H154" s="622"/>
      <c r="I154" s="622"/>
      <c r="J154" s="622"/>
      <c r="K154" s="622"/>
      <c r="L154" s="624"/>
      <c r="M154" s="627"/>
      <c r="N154" s="136"/>
      <c r="O154" s="622"/>
      <c r="P154" s="624"/>
      <c r="Q154" s="353"/>
      <c r="R154" s="353"/>
      <c r="S154" s="130"/>
    </row>
    <row r="155" spans="1:19" s="133" customFormat="1" x14ac:dyDescent="0.25">
      <c r="A155" s="489"/>
      <c r="B155" s="489"/>
      <c r="C155" s="628"/>
      <c r="D155" s="626"/>
      <c r="E155" s="626"/>
      <c r="F155" s="626"/>
      <c r="G155" s="217"/>
      <c r="H155" s="622"/>
      <c r="I155" s="622"/>
      <c r="J155" s="622"/>
      <c r="K155" s="622"/>
      <c r="L155" s="624"/>
      <c r="M155" s="627"/>
      <c r="N155" s="136"/>
      <c r="O155" s="622"/>
      <c r="P155" s="624"/>
      <c r="Q155" s="353"/>
      <c r="R155" s="353"/>
    </row>
    <row r="156" spans="1:19" s="133" customFormat="1" x14ac:dyDescent="0.25">
      <c r="A156" s="489"/>
      <c r="B156" s="489"/>
      <c r="C156" s="628"/>
      <c r="D156" s="626"/>
      <c r="E156" s="626"/>
      <c r="F156" s="626"/>
      <c r="G156" s="217"/>
      <c r="H156" s="622"/>
      <c r="I156" s="622"/>
      <c r="J156" s="622"/>
      <c r="K156" s="622"/>
      <c r="L156" s="624"/>
      <c r="M156" s="627"/>
      <c r="N156" s="136"/>
      <c r="O156" s="622"/>
      <c r="P156" s="624"/>
      <c r="Q156" s="353"/>
      <c r="R156" s="353"/>
    </row>
    <row r="157" spans="1:19" s="133" customFormat="1" x14ac:dyDescent="0.25">
      <c r="A157" s="489"/>
      <c r="B157" s="489"/>
      <c r="C157" s="628"/>
      <c r="D157" s="626"/>
      <c r="E157" s="626"/>
      <c r="F157" s="626"/>
      <c r="G157" s="217"/>
      <c r="H157" s="622"/>
      <c r="I157" s="622"/>
      <c r="J157" s="622"/>
      <c r="K157" s="622"/>
      <c r="L157" s="624"/>
      <c r="M157" s="627"/>
      <c r="N157" s="136"/>
      <c r="O157" s="622"/>
      <c r="P157" s="624"/>
      <c r="Q157" s="353"/>
      <c r="R157" s="353"/>
    </row>
    <row r="158" spans="1:19" s="133" customFormat="1" x14ac:dyDescent="0.25">
      <c r="A158" s="489"/>
      <c r="B158" s="489"/>
      <c r="C158" s="628"/>
      <c r="D158" s="626"/>
      <c r="E158" s="626"/>
      <c r="F158" s="626"/>
      <c r="G158" s="217"/>
      <c r="H158" s="622"/>
      <c r="I158" s="622"/>
      <c r="J158" s="622"/>
      <c r="K158" s="622"/>
      <c r="L158" s="624"/>
      <c r="M158" s="627"/>
      <c r="N158" s="136"/>
      <c r="O158" s="622"/>
      <c r="P158" s="624"/>
      <c r="Q158" s="353"/>
      <c r="R158" s="353"/>
    </row>
    <row r="159" spans="1:19" s="133" customFormat="1" x14ac:dyDescent="0.25">
      <c r="A159" s="489"/>
      <c r="B159" s="489"/>
      <c r="C159" s="404"/>
      <c r="D159" s="626"/>
      <c r="E159" s="626"/>
      <c r="F159" s="626"/>
      <c r="G159" s="217"/>
      <c r="H159" s="622"/>
      <c r="I159" s="622"/>
      <c r="J159" s="622"/>
      <c r="K159" s="622"/>
      <c r="L159" s="624"/>
      <c r="M159" s="627"/>
      <c r="N159" s="136"/>
      <c r="O159" s="622"/>
      <c r="P159" s="624"/>
      <c r="Q159" s="353"/>
      <c r="R159" s="353"/>
    </row>
    <row r="160" spans="1:19" s="133" customFormat="1" x14ac:dyDescent="0.25">
      <c r="A160" s="489"/>
      <c r="B160" s="489"/>
      <c r="C160" s="404"/>
      <c r="D160" s="626"/>
      <c r="E160" s="626"/>
      <c r="F160" s="626"/>
      <c r="G160" s="217"/>
      <c r="H160" s="622"/>
      <c r="I160" s="622"/>
      <c r="J160" s="622"/>
      <c r="K160" s="622"/>
      <c r="L160" s="624"/>
      <c r="M160" s="627"/>
      <c r="N160" s="136"/>
      <c r="O160" s="622"/>
      <c r="P160" s="624"/>
      <c r="Q160" s="353"/>
      <c r="R160" s="353"/>
    </row>
    <row r="161" spans="1:19" s="133" customFormat="1" x14ac:dyDescent="0.25">
      <c r="A161" s="489"/>
      <c r="B161" s="489"/>
      <c r="C161" s="404"/>
      <c r="D161" s="626"/>
      <c r="E161" s="626"/>
      <c r="F161" s="626"/>
      <c r="G161" s="217"/>
      <c r="H161" s="622"/>
      <c r="I161" s="622"/>
      <c r="J161" s="622"/>
      <c r="K161" s="622"/>
      <c r="L161" s="624"/>
      <c r="M161" s="627"/>
      <c r="N161" s="136"/>
      <c r="O161" s="622"/>
      <c r="P161" s="624"/>
      <c r="Q161" s="353"/>
      <c r="R161" s="353"/>
    </row>
    <row r="162" spans="1:19" s="133" customFormat="1" x14ac:dyDescent="0.25">
      <c r="A162" s="489"/>
      <c r="B162" s="489"/>
      <c r="C162" s="404"/>
      <c r="D162" s="626"/>
      <c r="E162" s="626"/>
      <c r="F162" s="626"/>
      <c r="G162" s="217"/>
      <c r="H162" s="622"/>
      <c r="I162" s="622"/>
      <c r="J162" s="622"/>
      <c r="K162" s="622"/>
      <c r="L162" s="624"/>
      <c r="M162" s="627"/>
      <c r="N162" s="136"/>
      <c r="O162" s="622"/>
      <c r="P162" s="624"/>
      <c r="Q162" s="353"/>
      <c r="R162" s="353"/>
    </row>
    <row r="163" spans="1:19" s="133" customFormat="1" x14ac:dyDescent="0.25">
      <c r="A163" s="489"/>
      <c r="B163" s="489"/>
      <c r="C163" s="404"/>
      <c r="D163" s="626"/>
      <c r="E163" s="626"/>
      <c r="F163" s="626"/>
      <c r="G163" s="217"/>
      <c r="H163" s="622"/>
      <c r="I163" s="622"/>
      <c r="J163" s="622"/>
      <c r="K163" s="622"/>
      <c r="L163" s="624"/>
      <c r="M163" s="627"/>
      <c r="N163" s="136"/>
      <c r="O163" s="622"/>
      <c r="P163" s="624"/>
      <c r="Q163" s="353"/>
      <c r="R163" s="353"/>
    </row>
    <row r="164" spans="1:19" s="133" customFormat="1" x14ac:dyDescent="0.25">
      <c r="A164" s="489"/>
      <c r="B164" s="489"/>
      <c r="D164" s="622"/>
      <c r="E164" s="622"/>
      <c r="F164" s="622"/>
      <c r="G164" s="136"/>
      <c r="H164" s="622"/>
      <c r="I164" s="622"/>
      <c r="J164" s="622"/>
      <c r="K164" s="622"/>
      <c r="L164" s="624"/>
      <c r="M164" s="627"/>
      <c r="N164" s="136"/>
      <c r="O164" s="622"/>
      <c r="P164" s="624"/>
      <c r="Q164" s="353"/>
      <c r="R164" s="353"/>
    </row>
    <row r="165" spans="1:19" s="133" customFormat="1" x14ac:dyDescent="0.25">
      <c r="A165" s="489"/>
      <c r="B165" s="489"/>
      <c r="D165" s="622"/>
      <c r="E165" s="622"/>
      <c r="F165" s="622"/>
      <c r="G165" s="136"/>
      <c r="H165" s="622"/>
      <c r="I165" s="622"/>
      <c r="J165" s="622"/>
      <c r="K165" s="622"/>
      <c r="L165" s="624"/>
      <c r="M165" s="627"/>
      <c r="N165" s="136"/>
      <c r="O165" s="622"/>
      <c r="P165" s="624"/>
      <c r="Q165" s="353"/>
      <c r="R165" s="353"/>
    </row>
    <row r="166" spans="1:19" s="133" customFormat="1" x14ac:dyDescent="0.25">
      <c r="A166" s="489"/>
      <c r="B166" s="489"/>
      <c r="D166" s="622"/>
      <c r="E166" s="622"/>
      <c r="F166" s="622"/>
      <c r="G166" s="136"/>
      <c r="H166" s="622"/>
      <c r="I166" s="622"/>
      <c r="J166" s="622"/>
      <c r="K166" s="622"/>
      <c r="L166" s="624"/>
      <c r="M166" s="627"/>
      <c r="N166" s="136"/>
      <c r="O166" s="622"/>
      <c r="P166" s="624"/>
      <c r="Q166" s="353"/>
      <c r="R166" s="353"/>
      <c r="S166" s="130"/>
    </row>
    <row r="167" spans="1:19" s="133" customFormat="1" x14ac:dyDescent="0.25">
      <c r="A167" s="489"/>
      <c r="B167" s="489"/>
      <c r="D167" s="622"/>
      <c r="E167" s="622"/>
      <c r="F167" s="622"/>
      <c r="G167" s="136"/>
      <c r="H167" s="622"/>
      <c r="I167" s="622"/>
      <c r="J167" s="622"/>
      <c r="K167" s="622"/>
      <c r="L167" s="624"/>
      <c r="M167" s="627"/>
      <c r="N167" s="136"/>
      <c r="O167" s="622"/>
      <c r="P167" s="624"/>
      <c r="Q167" s="353"/>
      <c r="R167" s="353"/>
      <c r="S167" s="130"/>
    </row>
    <row r="168" spans="1:19" s="133" customFormat="1" x14ac:dyDescent="0.25">
      <c r="A168" s="489"/>
      <c r="B168" s="489"/>
      <c r="D168" s="622"/>
      <c r="E168" s="622"/>
      <c r="F168" s="622"/>
      <c r="G168" s="136"/>
      <c r="H168" s="622"/>
      <c r="I168" s="622"/>
      <c r="J168" s="622"/>
      <c r="K168" s="622"/>
      <c r="L168" s="624"/>
      <c r="M168" s="627"/>
      <c r="N168" s="136"/>
      <c r="O168" s="622"/>
      <c r="P168" s="624"/>
      <c r="Q168" s="353"/>
      <c r="R168" s="353"/>
      <c r="S168" s="130"/>
    </row>
    <row r="169" spans="1:19" s="133" customFormat="1" x14ac:dyDescent="0.25">
      <c r="A169" s="489"/>
      <c r="B169" s="489"/>
      <c r="D169" s="622"/>
      <c r="E169" s="622"/>
      <c r="F169" s="622"/>
      <c r="G169" s="136"/>
      <c r="H169" s="622"/>
      <c r="I169" s="622"/>
      <c r="J169" s="622"/>
      <c r="K169" s="622"/>
      <c r="L169" s="624"/>
      <c r="M169" s="627"/>
      <c r="N169" s="136"/>
      <c r="O169" s="622"/>
      <c r="P169" s="624"/>
      <c r="Q169" s="353"/>
      <c r="R169" s="353"/>
      <c r="S169" s="130"/>
    </row>
    <row r="170" spans="1:19" s="133" customFormat="1" x14ac:dyDescent="0.25">
      <c r="A170" s="489"/>
      <c r="B170" s="489"/>
      <c r="D170" s="622"/>
      <c r="E170" s="622"/>
      <c r="F170" s="622"/>
      <c r="G170" s="136"/>
      <c r="H170" s="622"/>
      <c r="I170" s="622"/>
      <c r="J170" s="622"/>
      <c r="K170" s="622"/>
      <c r="L170" s="624"/>
      <c r="M170" s="627"/>
      <c r="N170" s="136"/>
      <c r="O170" s="622"/>
      <c r="P170" s="624"/>
      <c r="Q170" s="353"/>
      <c r="R170" s="353"/>
      <c r="S170" s="130"/>
    </row>
    <row r="171" spans="1:19" s="133" customFormat="1" x14ac:dyDescent="0.25">
      <c r="A171" s="489"/>
      <c r="B171" s="489"/>
      <c r="D171" s="622"/>
      <c r="E171" s="622"/>
      <c r="F171" s="622"/>
      <c r="G171" s="136"/>
      <c r="H171" s="622"/>
      <c r="I171" s="622"/>
      <c r="J171" s="622"/>
      <c r="K171" s="622"/>
      <c r="L171" s="624"/>
      <c r="M171" s="627"/>
      <c r="N171" s="136"/>
      <c r="O171" s="622"/>
      <c r="P171" s="624"/>
      <c r="Q171" s="353"/>
      <c r="R171" s="353"/>
      <c r="S171" s="130"/>
    </row>
    <row r="172" spans="1:19" s="133" customFormat="1" x14ac:dyDescent="0.25">
      <c r="A172" s="489"/>
      <c r="B172" s="489"/>
      <c r="D172" s="622"/>
      <c r="E172" s="622"/>
      <c r="F172" s="622"/>
      <c r="G172" s="136"/>
      <c r="H172" s="622"/>
      <c r="I172" s="622"/>
      <c r="J172" s="622"/>
      <c r="K172" s="622"/>
      <c r="L172" s="624"/>
      <c r="M172" s="627"/>
      <c r="N172" s="136"/>
      <c r="O172" s="622"/>
      <c r="P172" s="624"/>
      <c r="Q172" s="353"/>
      <c r="R172" s="353"/>
      <c r="S172" s="130"/>
    </row>
    <row r="173" spans="1:19" s="133" customFormat="1" x14ac:dyDescent="0.25">
      <c r="A173" s="489"/>
      <c r="B173" s="489"/>
      <c r="D173" s="622"/>
      <c r="E173" s="622"/>
      <c r="F173" s="622"/>
      <c r="G173" s="136"/>
      <c r="H173" s="622"/>
      <c r="I173" s="622"/>
      <c r="J173" s="622"/>
      <c r="K173" s="622"/>
      <c r="L173" s="624"/>
      <c r="M173" s="627"/>
      <c r="N173" s="136"/>
      <c r="O173" s="622"/>
      <c r="P173" s="624"/>
      <c r="Q173" s="353"/>
      <c r="R173" s="353"/>
      <c r="S173" s="130"/>
    </row>
    <row r="174" spans="1:19" s="133" customFormat="1" x14ac:dyDescent="0.25">
      <c r="A174" s="489"/>
      <c r="B174" s="489"/>
      <c r="D174" s="622"/>
      <c r="E174" s="622"/>
      <c r="F174" s="622"/>
      <c r="G174" s="136"/>
      <c r="H174" s="622"/>
      <c r="I174" s="622"/>
      <c r="J174" s="622"/>
      <c r="K174" s="622"/>
      <c r="L174" s="624"/>
      <c r="M174" s="627"/>
      <c r="N174" s="136"/>
      <c r="O174" s="622"/>
      <c r="P174" s="624"/>
      <c r="Q174" s="353"/>
      <c r="R174" s="353"/>
      <c r="S174" s="130"/>
    </row>
    <row r="175" spans="1:19" s="133" customFormat="1" x14ac:dyDescent="0.25">
      <c r="A175" s="489"/>
      <c r="B175" s="489"/>
      <c r="D175" s="622"/>
      <c r="E175" s="622"/>
      <c r="F175" s="622"/>
      <c r="G175" s="136"/>
      <c r="H175" s="622"/>
      <c r="I175" s="622"/>
      <c r="J175" s="622"/>
      <c r="K175" s="622"/>
      <c r="L175" s="624"/>
      <c r="M175" s="627"/>
      <c r="N175" s="136"/>
      <c r="O175" s="622"/>
      <c r="P175" s="624"/>
      <c r="Q175" s="353"/>
      <c r="R175" s="353"/>
      <c r="S175" s="130"/>
    </row>
    <row r="176" spans="1:19" s="133" customFormat="1" x14ac:dyDescent="0.25">
      <c r="A176" s="489"/>
      <c r="B176" s="489"/>
      <c r="D176" s="622"/>
      <c r="E176" s="622"/>
      <c r="F176" s="622"/>
      <c r="G176" s="136"/>
      <c r="H176" s="622"/>
      <c r="I176" s="622"/>
      <c r="J176" s="622"/>
      <c r="K176" s="622"/>
      <c r="L176" s="624"/>
      <c r="M176" s="627"/>
      <c r="N176" s="136"/>
      <c r="O176" s="622"/>
      <c r="P176" s="624"/>
      <c r="Q176" s="353"/>
      <c r="R176" s="353"/>
      <c r="S176" s="130"/>
    </row>
    <row r="177" spans="1:19" s="133" customFormat="1" x14ac:dyDescent="0.25">
      <c r="A177" s="489"/>
      <c r="B177" s="489"/>
      <c r="D177" s="622"/>
      <c r="E177" s="622"/>
      <c r="F177" s="622"/>
      <c r="G177" s="136"/>
      <c r="H177" s="622"/>
      <c r="I177" s="622"/>
      <c r="J177" s="622"/>
      <c r="K177" s="622"/>
      <c r="L177" s="624"/>
      <c r="M177" s="627"/>
      <c r="N177" s="136"/>
      <c r="O177" s="622"/>
      <c r="P177" s="624"/>
      <c r="Q177" s="353"/>
      <c r="R177" s="353"/>
      <c r="S177" s="130"/>
    </row>
    <row r="178" spans="1:19" s="133" customFormat="1" x14ac:dyDescent="0.25">
      <c r="A178" s="489"/>
      <c r="B178" s="489"/>
      <c r="D178" s="622"/>
      <c r="E178" s="622"/>
      <c r="F178" s="622"/>
      <c r="G178" s="136"/>
      <c r="H178" s="622"/>
      <c r="I178" s="622"/>
      <c r="J178" s="622"/>
      <c r="K178" s="622"/>
      <c r="L178" s="624"/>
      <c r="M178" s="627"/>
      <c r="N178" s="136"/>
      <c r="O178" s="622"/>
      <c r="P178" s="624"/>
      <c r="Q178" s="353"/>
      <c r="R178" s="353"/>
      <c r="S178" s="130"/>
    </row>
    <row r="179" spans="1:19" s="133" customFormat="1" x14ac:dyDescent="0.25">
      <c r="A179" s="489"/>
      <c r="B179" s="489"/>
      <c r="D179" s="622"/>
      <c r="E179" s="622"/>
      <c r="F179" s="622"/>
      <c r="G179" s="136"/>
      <c r="H179" s="622"/>
      <c r="I179" s="622"/>
      <c r="J179" s="622"/>
      <c r="K179" s="622"/>
      <c r="L179" s="624"/>
      <c r="M179" s="627"/>
      <c r="N179" s="136"/>
      <c r="O179" s="622"/>
      <c r="P179" s="624"/>
      <c r="Q179" s="353"/>
      <c r="R179" s="353"/>
      <c r="S179" s="130"/>
    </row>
    <row r="180" spans="1:19" s="133" customFormat="1" x14ac:dyDescent="0.25">
      <c r="A180" s="489"/>
      <c r="B180" s="489"/>
      <c r="D180" s="622"/>
      <c r="E180" s="622"/>
      <c r="F180" s="622"/>
      <c r="G180" s="136"/>
      <c r="H180" s="622"/>
      <c r="I180" s="622"/>
      <c r="J180" s="622"/>
      <c r="K180" s="622"/>
      <c r="L180" s="624"/>
      <c r="M180" s="627"/>
      <c r="N180" s="136"/>
      <c r="O180" s="622"/>
      <c r="P180" s="624"/>
      <c r="Q180" s="353"/>
      <c r="R180" s="353"/>
      <c r="S180" s="130"/>
    </row>
    <row r="181" spans="1:19" s="133" customFormat="1" x14ac:dyDescent="0.25">
      <c r="A181" s="489"/>
      <c r="B181" s="489"/>
      <c r="D181" s="622"/>
      <c r="E181" s="622"/>
      <c r="F181" s="622"/>
      <c r="G181" s="136"/>
      <c r="H181" s="622"/>
      <c r="I181" s="622"/>
      <c r="J181" s="622"/>
      <c r="K181" s="622"/>
      <c r="L181" s="624"/>
      <c r="M181" s="627"/>
      <c r="N181" s="136"/>
      <c r="O181" s="622"/>
      <c r="P181" s="624"/>
      <c r="Q181" s="353"/>
      <c r="R181" s="353"/>
      <c r="S181" s="130"/>
    </row>
    <row r="182" spans="1:19" s="133" customFormat="1" x14ac:dyDescent="0.25">
      <c r="A182" s="489"/>
      <c r="B182" s="489"/>
      <c r="D182" s="622"/>
      <c r="E182" s="622"/>
      <c r="F182" s="622"/>
      <c r="G182" s="136"/>
      <c r="H182" s="622"/>
      <c r="I182" s="622"/>
      <c r="J182" s="622"/>
      <c r="K182" s="622"/>
      <c r="L182" s="624"/>
      <c r="M182" s="627"/>
      <c r="N182" s="136"/>
      <c r="O182" s="622"/>
      <c r="P182" s="624"/>
      <c r="Q182" s="353"/>
      <c r="R182" s="353"/>
      <c r="S182" s="130"/>
    </row>
    <row r="183" spans="1:19" s="133" customFormat="1" x14ac:dyDescent="0.25">
      <c r="A183" s="489"/>
      <c r="B183" s="489"/>
      <c r="D183" s="622"/>
      <c r="E183" s="622"/>
      <c r="F183" s="622"/>
      <c r="G183" s="136"/>
      <c r="H183" s="622"/>
      <c r="I183" s="622"/>
      <c r="J183" s="622"/>
      <c r="K183" s="622"/>
      <c r="L183" s="624"/>
      <c r="M183" s="627"/>
      <c r="N183" s="136"/>
      <c r="O183" s="622"/>
      <c r="P183" s="624"/>
      <c r="Q183" s="353"/>
      <c r="R183" s="353"/>
      <c r="S183" s="130"/>
    </row>
    <row r="184" spans="1:19" s="133" customFormat="1" x14ac:dyDescent="0.25">
      <c r="A184" s="489"/>
      <c r="B184" s="489"/>
      <c r="D184" s="622"/>
      <c r="E184" s="622"/>
      <c r="F184" s="622"/>
      <c r="G184" s="136"/>
      <c r="H184" s="622"/>
      <c r="I184" s="622"/>
      <c r="J184" s="622"/>
      <c r="K184" s="622"/>
      <c r="L184" s="624"/>
      <c r="M184" s="627"/>
      <c r="N184" s="136"/>
      <c r="O184" s="622"/>
      <c r="P184" s="624"/>
      <c r="Q184" s="353"/>
      <c r="R184" s="353"/>
      <c r="S184" s="130"/>
    </row>
    <row r="185" spans="1:19" s="133" customFormat="1" x14ac:dyDescent="0.25">
      <c r="A185" s="489"/>
      <c r="B185" s="489"/>
      <c r="D185" s="622"/>
      <c r="E185" s="622"/>
      <c r="F185" s="622"/>
      <c r="G185" s="136"/>
      <c r="H185" s="622"/>
      <c r="I185" s="622"/>
      <c r="J185" s="622"/>
      <c r="K185" s="622"/>
      <c r="L185" s="624"/>
      <c r="M185" s="627"/>
      <c r="N185" s="136"/>
      <c r="O185" s="622"/>
      <c r="P185" s="624"/>
      <c r="Q185" s="353"/>
      <c r="R185" s="353"/>
      <c r="S185" s="130"/>
    </row>
    <row r="186" spans="1:19" s="133" customFormat="1" x14ac:dyDescent="0.25">
      <c r="A186" s="489"/>
      <c r="B186" s="489"/>
      <c r="D186" s="622"/>
      <c r="E186" s="622"/>
      <c r="F186" s="622"/>
      <c r="G186" s="136"/>
      <c r="H186" s="622"/>
      <c r="I186" s="622"/>
      <c r="J186" s="622"/>
      <c r="K186" s="622"/>
      <c r="L186" s="624"/>
      <c r="M186" s="627"/>
      <c r="N186" s="136"/>
      <c r="O186" s="622"/>
      <c r="P186" s="624"/>
      <c r="Q186" s="353"/>
      <c r="R186" s="353"/>
      <c r="S186" s="130"/>
    </row>
    <row r="187" spans="1:19" s="133" customFormat="1" x14ac:dyDescent="0.25">
      <c r="A187" s="489"/>
      <c r="B187" s="489"/>
      <c r="D187" s="622"/>
      <c r="E187" s="622"/>
      <c r="F187" s="622"/>
      <c r="G187" s="136"/>
      <c r="H187" s="622"/>
      <c r="I187" s="622"/>
      <c r="J187" s="622"/>
      <c r="K187" s="622"/>
      <c r="L187" s="624"/>
      <c r="M187" s="627"/>
      <c r="N187" s="136"/>
      <c r="O187" s="622"/>
      <c r="P187" s="624"/>
      <c r="Q187" s="353"/>
      <c r="R187" s="353"/>
      <c r="S187" s="130"/>
    </row>
    <row r="188" spans="1:19" s="133" customFormat="1" x14ac:dyDescent="0.25">
      <c r="A188" s="489"/>
      <c r="B188" s="489"/>
      <c r="D188" s="622"/>
      <c r="E188" s="622"/>
      <c r="F188" s="622"/>
      <c r="G188" s="136"/>
      <c r="H188" s="622"/>
      <c r="I188" s="622"/>
      <c r="J188" s="622"/>
      <c r="K188" s="622"/>
      <c r="L188" s="624"/>
      <c r="M188" s="627"/>
      <c r="N188" s="136"/>
      <c r="O188" s="622"/>
      <c r="P188" s="624"/>
      <c r="Q188" s="353"/>
      <c r="R188" s="353"/>
      <c r="S188" s="130"/>
    </row>
    <row r="189" spans="1:19" s="133" customFormat="1" x14ac:dyDescent="0.25">
      <c r="A189" s="489"/>
      <c r="B189" s="489"/>
      <c r="D189" s="622"/>
      <c r="E189" s="622"/>
      <c r="F189" s="622"/>
      <c r="G189" s="136"/>
      <c r="H189" s="622"/>
      <c r="I189" s="622"/>
      <c r="J189" s="622"/>
      <c r="K189" s="622"/>
      <c r="L189" s="624"/>
      <c r="M189" s="627"/>
      <c r="N189" s="136"/>
      <c r="O189" s="622"/>
      <c r="P189" s="624"/>
      <c r="Q189" s="353"/>
      <c r="R189" s="353"/>
      <c r="S189" s="130"/>
    </row>
    <row r="190" spans="1:19" s="133" customFormat="1" x14ac:dyDescent="0.25">
      <c r="A190" s="489"/>
      <c r="B190" s="489"/>
      <c r="D190" s="622"/>
      <c r="E190" s="622"/>
      <c r="F190" s="622"/>
      <c r="G190" s="136"/>
      <c r="H190" s="622"/>
      <c r="I190" s="622"/>
      <c r="J190" s="622"/>
      <c r="K190" s="622"/>
      <c r="L190" s="624"/>
      <c r="M190" s="627"/>
      <c r="N190" s="136"/>
      <c r="O190" s="622"/>
      <c r="P190" s="624"/>
      <c r="Q190" s="353"/>
      <c r="R190" s="353"/>
      <c r="S190" s="130"/>
    </row>
    <row r="191" spans="1:19" s="133" customFormat="1" x14ac:dyDescent="0.25">
      <c r="A191" s="489"/>
      <c r="B191" s="489"/>
      <c r="D191" s="622"/>
      <c r="E191" s="622"/>
      <c r="F191" s="622"/>
      <c r="G191" s="136"/>
      <c r="H191" s="622"/>
      <c r="I191" s="622"/>
      <c r="J191" s="622"/>
      <c r="K191" s="622"/>
      <c r="L191" s="624"/>
      <c r="M191" s="627"/>
      <c r="N191" s="136"/>
      <c r="O191" s="622"/>
      <c r="P191" s="624"/>
      <c r="Q191" s="353"/>
      <c r="R191" s="353"/>
      <c r="S191" s="130"/>
    </row>
    <row r="192" spans="1:19" s="133" customFormat="1" x14ac:dyDescent="0.25">
      <c r="A192" s="489"/>
      <c r="B192" s="489"/>
      <c r="D192" s="622"/>
      <c r="E192" s="622"/>
      <c r="F192" s="622"/>
      <c r="G192" s="136"/>
      <c r="H192" s="622"/>
      <c r="I192" s="622"/>
      <c r="J192" s="622"/>
      <c r="K192" s="622"/>
      <c r="L192" s="624"/>
      <c r="M192" s="627"/>
      <c r="N192" s="136"/>
      <c r="O192" s="622"/>
      <c r="P192" s="624"/>
      <c r="Q192" s="353"/>
      <c r="R192" s="353"/>
      <c r="S192" s="130"/>
    </row>
    <row r="193" spans="1:19" s="133" customFormat="1" x14ac:dyDescent="0.25">
      <c r="A193" s="489"/>
      <c r="B193" s="489"/>
      <c r="D193" s="622"/>
      <c r="E193" s="622"/>
      <c r="F193" s="622"/>
      <c r="G193" s="136"/>
      <c r="H193" s="622"/>
      <c r="I193" s="622"/>
      <c r="J193" s="622"/>
      <c r="K193" s="622"/>
      <c r="L193" s="624"/>
      <c r="M193" s="627"/>
      <c r="N193" s="136"/>
      <c r="O193" s="622"/>
      <c r="P193" s="624"/>
      <c r="Q193" s="353"/>
      <c r="R193" s="353"/>
      <c r="S193" s="130"/>
    </row>
    <row r="194" spans="1:19" s="133" customFormat="1" x14ac:dyDescent="0.25">
      <c r="A194" s="489"/>
      <c r="B194" s="489"/>
      <c r="D194" s="622"/>
      <c r="E194" s="622"/>
      <c r="F194" s="622"/>
      <c r="G194" s="136"/>
      <c r="H194" s="622"/>
      <c r="I194" s="622"/>
      <c r="J194" s="622"/>
      <c r="K194" s="622"/>
      <c r="L194" s="624"/>
      <c r="M194" s="627"/>
      <c r="N194" s="136"/>
      <c r="O194" s="622"/>
      <c r="P194" s="624"/>
      <c r="Q194" s="353"/>
      <c r="R194" s="353"/>
      <c r="S194" s="130"/>
    </row>
    <row r="195" spans="1:19" s="133" customFormat="1" x14ac:dyDescent="0.25">
      <c r="A195" s="489"/>
      <c r="B195" s="489"/>
      <c r="D195" s="622"/>
      <c r="E195" s="622"/>
      <c r="F195" s="622"/>
      <c r="G195" s="136"/>
      <c r="H195" s="622"/>
      <c r="I195" s="622"/>
      <c r="J195" s="622"/>
      <c r="K195" s="622"/>
      <c r="L195" s="624"/>
      <c r="M195" s="627"/>
      <c r="N195" s="136"/>
      <c r="O195" s="622"/>
      <c r="P195" s="624"/>
      <c r="Q195" s="353"/>
      <c r="R195" s="353"/>
      <c r="S195" s="130"/>
    </row>
    <row r="196" spans="1:19" s="133" customFormat="1" x14ac:dyDescent="0.25">
      <c r="A196" s="489"/>
      <c r="B196" s="489"/>
      <c r="D196" s="622"/>
      <c r="E196" s="622"/>
      <c r="F196" s="622"/>
      <c r="G196" s="136"/>
      <c r="H196" s="622"/>
      <c r="I196" s="622"/>
      <c r="J196" s="622"/>
      <c r="K196" s="622"/>
      <c r="L196" s="624"/>
      <c r="M196" s="627"/>
      <c r="N196" s="136"/>
      <c r="O196" s="622"/>
      <c r="P196" s="624"/>
      <c r="Q196" s="353"/>
      <c r="R196" s="353"/>
      <c r="S196" s="130"/>
    </row>
    <row r="197" spans="1:19" s="133" customFormat="1" x14ac:dyDescent="0.25">
      <c r="A197" s="489"/>
      <c r="B197" s="489"/>
      <c r="D197" s="622"/>
      <c r="E197" s="622"/>
      <c r="F197" s="622"/>
      <c r="G197" s="136"/>
      <c r="H197" s="622"/>
      <c r="I197" s="622"/>
      <c r="J197" s="622"/>
      <c r="K197" s="622"/>
      <c r="L197" s="624"/>
      <c r="M197" s="627"/>
      <c r="N197" s="136"/>
      <c r="O197" s="622"/>
      <c r="P197" s="624"/>
      <c r="Q197" s="353"/>
      <c r="R197" s="353"/>
      <c r="S197" s="130"/>
    </row>
    <row r="198" spans="1:19" s="133" customFormat="1" x14ac:dyDescent="0.25">
      <c r="A198" s="489"/>
      <c r="B198" s="489"/>
      <c r="D198" s="622"/>
      <c r="E198" s="622"/>
      <c r="F198" s="622"/>
      <c r="G198" s="136"/>
      <c r="H198" s="622"/>
      <c r="I198" s="622"/>
      <c r="J198" s="622"/>
      <c r="K198" s="622"/>
      <c r="L198" s="624"/>
      <c r="M198" s="627"/>
      <c r="N198" s="136"/>
      <c r="O198" s="622"/>
      <c r="P198" s="624"/>
      <c r="Q198" s="353"/>
      <c r="R198" s="353"/>
      <c r="S198" s="130"/>
    </row>
    <row r="199" spans="1:19" s="133" customFormat="1" x14ac:dyDescent="0.25">
      <c r="A199" s="489"/>
      <c r="B199" s="489"/>
      <c r="D199" s="622"/>
      <c r="E199" s="622"/>
      <c r="F199" s="622"/>
      <c r="G199" s="136"/>
      <c r="H199" s="622"/>
      <c r="I199" s="622"/>
      <c r="J199" s="622"/>
      <c r="K199" s="622"/>
      <c r="L199" s="624"/>
      <c r="M199" s="627"/>
      <c r="N199" s="136"/>
      <c r="O199" s="622"/>
      <c r="P199" s="624"/>
      <c r="Q199" s="353"/>
      <c r="R199" s="353"/>
      <c r="S199" s="130"/>
    </row>
    <row r="200" spans="1:19" s="133" customFormat="1" x14ac:dyDescent="0.25">
      <c r="A200" s="489"/>
      <c r="B200" s="489"/>
      <c r="D200" s="622"/>
      <c r="E200" s="622"/>
      <c r="F200" s="622"/>
      <c r="G200" s="136"/>
      <c r="H200" s="622"/>
      <c r="I200" s="622"/>
      <c r="J200" s="622"/>
      <c r="K200" s="622"/>
      <c r="L200" s="624"/>
      <c r="M200" s="627"/>
      <c r="N200" s="136"/>
      <c r="O200" s="622"/>
      <c r="P200" s="624"/>
      <c r="Q200" s="353"/>
      <c r="R200" s="353"/>
      <c r="S200" s="130"/>
    </row>
    <row r="201" spans="1:19" s="133" customFormat="1" x14ac:dyDescent="0.25">
      <c r="A201" s="489"/>
      <c r="B201" s="489"/>
      <c r="D201" s="622"/>
      <c r="E201" s="622"/>
      <c r="F201" s="622"/>
      <c r="G201" s="136"/>
      <c r="H201" s="622"/>
      <c r="I201" s="622"/>
      <c r="J201" s="622"/>
      <c r="K201" s="622"/>
      <c r="L201" s="624"/>
      <c r="M201" s="627"/>
      <c r="N201" s="136"/>
      <c r="O201" s="622"/>
      <c r="P201" s="624"/>
      <c r="Q201" s="353"/>
      <c r="R201" s="353"/>
      <c r="S201" s="130"/>
    </row>
    <row r="202" spans="1:19" s="133" customFormat="1" x14ac:dyDescent="0.25">
      <c r="A202" s="489"/>
      <c r="B202" s="489"/>
      <c r="D202" s="622"/>
      <c r="E202" s="622"/>
      <c r="F202" s="622"/>
      <c r="G202" s="136"/>
      <c r="H202" s="622"/>
      <c r="I202" s="622"/>
      <c r="J202" s="622"/>
      <c r="K202" s="622"/>
      <c r="L202" s="624"/>
      <c r="M202" s="627"/>
      <c r="N202" s="136"/>
      <c r="O202" s="622"/>
      <c r="P202" s="624"/>
      <c r="Q202" s="353"/>
      <c r="R202" s="353"/>
      <c r="S202" s="130"/>
    </row>
    <row r="203" spans="1:19" s="133" customFormat="1" x14ac:dyDescent="0.25">
      <c r="A203" s="489"/>
      <c r="B203" s="489"/>
      <c r="D203" s="622"/>
      <c r="E203" s="622"/>
      <c r="F203" s="622"/>
      <c r="G203" s="136"/>
      <c r="H203" s="622"/>
      <c r="I203" s="622"/>
      <c r="J203" s="622"/>
      <c r="K203" s="622"/>
      <c r="L203" s="624"/>
      <c r="M203" s="627"/>
      <c r="N203" s="136"/>
      <c r="O203" s="622"/>
      <c r="P203" s="624"/>
      <c r="Q203" s="353"/>
      <c r="R203" s="353"/>
      <c r="S203" s="130"/>
    </row>
    <row r="204" spans="1:19" s="133" customFormat="1" x14ac:dyDescent="0.25">
      <c r="A204" s="489"/>
      <c r="B204" s="489"/>
      <c r="D204" s="622"/>
      <c r="E204" s="622"/>
      <c r="F204" s="622"/>
      <c r="G204" s="136"/>
      <c r="H204" s="622"/>
      <c r="I204" s="622"/>
      <c r="J204" s="622"/>
      <c r="K204" s="622"/>
      <c r="L204" s="624"/>
      <c r="M204" s="627"/>
      <c r="N204" s="136"/>
      <c r="O204" s="622"/>
      <c r="P204" s="624"/>
      <c r="Q204" s="353"/>
      <c r="R204" s="353"/>
      <c r="S204" s="130"/>
    </row>
    <row r="205" spans="1:19" s="133" customFormat="1" x14ac:dyDescent="0.25">
      <c r="A205" s="489"/>
      <c r="B205" s="489"/>
      <c r="D205" s="622"/>
      <c r="E205" s="622"/>
      <c r="F205" s="622"/>
      <c r="G205" s="136"/>
      <c r="H205" s="622"/>
      <c r="I205" s="622"/>
      <c r="J205" s="622"/>
      <c r="K205" s="622"/>
      <c r="L205" s="624"/>
      <c r="M205" s="627"/>
      <c r="N205" s="136"/>
      <c r="O205" s="622"/>
      <c r="P205" s="624"/>
      <c r="Q205" s="353"/>
      <c r="R205" s="353"/>
      <c r="S205" s="130"/>
    </row>
    <row r="206" spans="1:19" s="133" customFormat="1" x14ac:dyDescent="0.25">
      <c r="A206" s="489"/>
      <c r="B206" s="489"/>
      <c r="D206" s="622"/>
      <c r="E206" s="622"/>
      <c r="F206" s="622"/>
      <c r="G206" s="136"/>
      <c r="H206" s="622"/>
      <c r="I206" s="622"/>
      <c r="J206" s="622"/>
      <c r="K206" s="622"/>
      <c r="L206" s="624"/>
      <c r="M206" s="627"/>
      <c r="N206" s="136"/>
      <c r="O206" s="622"/>
      <c r="P206" s="624"/>
      <c r="Q206" s="353"/>
      <c r="R206" s="353"/>
      <c r="S206" s="130"/>
    </row>
    <row r="207" spans="1:19" s="133" customFormat="1" x14ac:dyDescent="0.25">
      <c r="A207" s="489"/>
      <c r="B207" s="489"/>
      <c r="D207" s="622"/>
      <c r="E207" s="622"/>
      <c r="F207" s="622"/>
      <c r="G207" s="136"/>
      <c r="H207" s="622"/>
      <c r="I207" s="622"/>
      <c r="J207" s="622"/>
      <c r="K207" s="622"/>
      <c r="L207" s="624"/>
      <c r="M207" s="627"/>
      <c r="N207" s="136"/>
      <c r="O207" s="622"/>
      <c r="P207" s="624"/>
      <c r="Q207" s="353"/>
      <c r="R207" s="353"/>
      <c r="S207" s="130"/>
    </row>
    <row r="208" spans="1:19" s="133" customFormat="1" x14ac:dyDescent="0.25">
      <c r="A208" s="489"/>
      <c r="B208" s="489"/>
      <c r="D208" s="622"/>
      <c r="E208" s="622"/>
      <c r="F208" s="622"/>
      <c r="G208" s="136"/>
      <c r="H208" s="622"/>
      <c r="I208" s="622"/>
      <c r="J208" s="622"/>
      <c r="K208" s="622"/>
      <c r="L208" s="624"/>
      <c r="M208" s="627"/>
      <c r="N208" s="136"/>
      <c r="O208" s="622"/>
      <c r="P208" s="624"/>
      <c r="Q208" s="353"/>
      <c r="R208" s="353"/>
      <c r="S208" s="130"/>
    </row>
    <row r="209" spans="1:19" s="133" customFormat="1" x14ac:dyDescent="0.25">
      <c r="A209" s="489"/>
      <c r="B209" s="489"/>
      <c r="D209" s="622"/>
      <c r="E209" s="622"/>
      <c r="F209" s="622"/>
      <c r="G209" s="136"/>
      <c r="H209" s="622"/>
      <c r="I209" s="622"/>
      <c r="J209" s="622"/>
      <c r="K209" s="622"/>
      <c r="L209" s="624"/>
      <c r="M209" s="627"/>
      <c r="N209" s="136"/>
      <c r="O209" s="622"/>
      <c r="P209" s="624"/>
      <c r="Q209" s="353"/>
      <c r="R209" s="353"/>
      <c r="S209" s="130"/>
    </row>
    <row r="210" spans="1:19" s="133" customFormat="1" x14ac:dyDescent="0.25">
      <c r="A210" s="489"/>
      <c r="B210" s="489"/>
      <c r="D210" s="622"/>
      <c r="E210" s="622"/>
      <c r="F210" s="622"/>
      <c r="G210" s="136"/>
      <c r="H210" s="622"/>
      <c r="I210" s="622"/>
      <c r="J210" s="622"/>
      <c r="K210" s="622"/>
      <c r="L210" s="624"/>
      <c r="M210" s="627"/>
      <c r="N210" s="136"/>
      <c r="O210" s="622"/>
      <c r="P210" s="624"/>
      <c r="Q210" s="353"/>
      <c r="R210" s="353"/>
      <c r="S210" s="130"/>
    </row>
    <row r="211" spans="1:19" s="133" customFormat="1" x14ac:dyDescent="0.25">
      <c r="A211" s="489"/>
      <c r="B211" s="489"/>
      <c r="D211" s="622"/>
      <c r="E211" s="622"/>
      <c r="F211" s="622"/>
      <c r="G211" s="136"/>
      <c r="H211" s="622"/>
      <c r="I211" s="622"/>
      <c r="J211" s="622"/>
      <c r="K211" s="622"/>
      <c r="L211" s="624"/>
      <c r="M211" s="622"/>
      <c r="N211" s="136"/>
      <c r="O211" s="622"/>
      <c r="P211" s="624"/>
      <c r="Q211" s="353"/>
      <c r="R211" s="353"/>
      <c r="S211" s="130"/>
    </row>
    <row r="212" spans="1:19" s="133" customFormat="1" x14ac:dyDescent="0.25">
      <c r="A212" s="489"/>
      <c r="B212" s="489"/>
      <c r="D212" s="622"/>
      <c r="E212" s="622"/>
      <c r="F212" s="622"/>
      <c r="G212" s="136"/>
      <c r="H212" s="622"/>
      <c r="I212" s="622"/>
      <c r="J212" s="622"/>
      <c r="K212" s="622"/>
      <c r="L212" s="624"/>
      <c r="M212" s="622"/>
      <c r="N212" s="136"/>
      <c r="O212" s="622"/>
      <c r="P212" s="624"/>
      <c r="Q212" s="353"/>
      <c r="R212" s="353"/>
      <c r="S212" s="130"/>
    </row>
    <row r="213" spans="1:19" s="133" customFormat="1" x14ac:dyDescent="0.25">
      <c r="A213" s="489"/>
      <c r="B213" s="489"/>
      <c r="D213" s="622"/>
      <c r="E213" s="622"/>
      <c r="F213" s="622"/>
      <c r="G213" s="136"/>
      <c r="H213" s="622"/>
      <c r="I213" s="622"/>
      <c r="J213" s="622"/>
      <c r="K213" s="622"/>
      <c r="L213" s="624"/>
      <c r="M213" s="622"/>
      <c r="N213" s="136"/>
      <c r="O213" s="622"/>
      <c r="P213" s="624"/>
      <c r="Q213" s="353"/>
      <c r="R213" s="353"/>
      <c r="S213" s="130"/>
    </row>
    <row r="214" spans="1:19" s="133" customFormat="1" x14ac:dyDescent="0.25">
      <c r="A214" s="489"/>
      <c r="B214" s="489"/>
      <c r="D214" s="622"/>
      <c r="E214" s="622"/>
      <c r="F214" s="622"/>
      <c r="G214" s="136"/>
      <c r="H214" s="622"/>
      <c r="I214" s="622"/>
      <c r="J214" s="622"/>
      <c r="K214" s="622"/>
      <c r="L214" s="624"/>
      <c r="M214" s="622"/>
      <c r="N214" s="136"/>
      <c r="O214" s="622"/>
      <c r="P214" s="624"/>
      <c r="Q214" s="353"/>
      <c r="R214" s="353"/>
      <c r="S214" s="130"/>
    </row>
    <row r="215" spans="1:19" s="133" customFormat="1" x14ac:dyDescent="0.25">
      <c r="A215" s="489"/>
      <c r="B215" s="489"/>
      <c r="D215" s="622"/>
      <c r="E215" s="622"/>
      <c r="F215" s="622"/>
      <c r="G215" s="136"/>
      <c r="H215" s="622"/>
      <c r="I215" s="622"/>
      <c r="J215" s="622"/>
      <c r="K215" s="622"/>
      <c r="L215" s="624"/>
      <c r="M215" s="622"/>
      <c r="N215" s="136"/>
      <c r="O215" s="622"/>
      <c r="P215" s="624"/>
      <c r="Q215" s="353"/>
      <c r="R215" s="353"/>
      <c r="S215" s="130"/>
    </row>
    <row r="216" spans="1:19" s="133" customFormat="1" x14ac:dyDescent="0.25">
      <c r="A216" s="489"/>
      <c r="B216" s="489"/>
      <c r="D216" s="622"/>
      <c r="E216" s="622"/>
      <c r="F216" s="622"/>
      <c r="G216" s="136"/>
      <c r="H216" s="622"/>
      <c r="I216" s="622"/>
      <c r="J216" s="622"/>
      <c r="K216" s="622"/>
      <c r="L216" s="624"/>
      <c r="M216" s="622"/>
      <c r="N216" s="136"/>
      <c r="O216" s="622"/>
      <c r="P216" s="624"/>
      <c r="Q216" s="353"/>
      <c r="R216" s="353"/>
      <c r="S216" s="130"/>
    </row>
    <row r="217" spans="1:19" s="133" customFormat="1" x14ac:dyDescent="0.25">
      <c r="A217" s="489"/>
      <c r="B217" s="489"/>
      <c r="D217" s="622"/>
      <c r="E217" s="622"/>
      <c r="F217" s="622"/>
      <c r="G217" s="136"/>
      <c r="H217" s="622"/>
      <c r="I217" s="622"/>
      <c r="J217" s="622"/>
      <c r="K217" s="622"/>
      <c r="L217" s="624"/>
      <c r="M217" s="622"/>
      <c r="N217" s="136"/>
      <c r="O217" s="622"/>
      <c r="P217" s="624"/>
      <c r="Q217" s="353"/>
      <c r="R217" s="353"/>
      <c r="S217" s="130"/>
    </row>
    <row r="218" spans="1:19" s="133" customFormat="1" x14ac:dyDescent="0.25">
      <c r="A218" s="489"/>
      <c r="B218" s="489"/>
      <c r="D218" s="622"/>
      <c r="E218" s="622"/>
      <c r="F218" s="622"/>
      <c r="G218" s="136"/>
      <c r="H218" s="622"/>
      <c r="I218" s="622"/>
      <c r="J218" s="622"/>
      <c r="K218" s="622"/>
      <c r="L218" s="624"/>
      <c r="M218" s="622"/>
      <c r="N218" s="136"/>
      <c r="O218" s="622"/>
      <c r="P218" s="624"/>
      <c r="Q218" s="353"/>
      <c r="R218" s="353"/>
      <c r="S218" s="130"/>
    </row>
    <row r="219" spans="1:19" s="133" customFormat="1" x14ac:dyDescent="0.25">
      <c r="A219" s="489"/>
      <c r="B219" s="489"/>
      <c r="D219" s="622"/>
      <c r="E219" s="622"/>
      <c r="F219" s="622"/>
      <c r="G219" s="136"/>
      <c r="H219" s="622"/>
      <c r="I219" s="622"/>
      <c r="J219" s="622"/>
      <c r="K219" s="622"/>
      <c r="L219" s="624"/>
      <c r="M219" s="622"/>
      <c r="N219" s="136"/>
      <c r="O219" s="622"/>
      <c r="P219" s="624"/>
      <c r="Q219" s="353"/>
      <c r="R219" s="353"/>
      <c r="S219" s="130"/>
    </row>
    <row r="220" spans="1:19" s="133" customFormat="1" x14ac:dyDescent="0.25">
      <c r="A220" s="489"/>
      <c r="B220" s="489"/>
      <c r="D220" s="622"/>
      <c r="E220" s="622"/>
      <c r="F220" s="622"/>
      <c r="G220" s="136"/>
      <c r="H220" s="622"/>
      <c r="I220" s="622"/>
      <c r="J220" s="622"/>
      <c r="K220" s="622"/>
      <c r="L220" s="624"/>
      <c r="M220" s="622"/>
      <c r="N220" s="136"/>
      <c r="O220" s="622"/>
      <c r="P220" s="624"/>
      <c r="Q220" s="353"/>
      <c r="R220" s="353"/>
      <c r="S220" s="130"/>
    </row>
    <row r="221" spans="1:19" s="133" customFormat="1" x14ac:dyDescent="0.25">
      <c r="A221" s="489"/>
      <c r="B221" s="489"/>
      <c r="D221" s="622"/>
      <c r="E221" s="622"/>
      <c r="F221" s="622"/>
      <c r="G221" s="136"/>
      <c r="H221" s="622"/>
      <c r="I221" s="622"/>
      <c r="J221" s="622"/>
      <c r="K221" s="622"/>
      <c r="L221" s="624"/>
      <c r="M221" s="622"/>
      <c r="N221" s="136"/>
      <c r="O221" s="622"/>
      <c r="P221" s="624"/>
      <c r="Q221" s="353"/>
      <c r="R221" s="353"/>
      <c r="S221" s="130"/>
    </row>
    <row r="222" spans="1:19" s="133" customFormat="1" x14ac:dyDescent="0.25">
      <c r="A222" s="489"/>
      <c r="B222" s="489"/>
      <c r="D222" s="622"/>
      <c r="E222" s="622"/>
      <c r="F222" s="622"/>
      <c r="G222" s="136"/>
      <c r="H222" s="622"/>
      <c r="I222" s="622"/>
      <c r="J222" s="622"/>
      <c r="K222" s="622"/>
      <c r="L222" s="624"/>
      <c r="M222" s="622"/>
      <c r="N222" s="136"/>
      <c r="O222" s="622"/>
      <c r="P222" s="624"/>
      <c r="Q222" s="353"/>
      <c r="R222" s="353"/>
      <c r="S222" s="130"/>
    </row>
    <row r="223" spans="1:19" s="133" customFormat="1" x14ac:dyDescent="0.25">
      <c r="A223" s="489"/>
      <c r="B223" s="489"/>
      <c r="D223" s="622"/>
      <c r="E223" s="622"/>
      <c r="F223" s="622"/>
      <c r="G223" s="136"/>
      <c r="H223" s="622"/>
      <c r="I223" s="622"/>
      <c r="J223" s="622"/>
      <c r="K223" s="622"/>
      <c r="L223" s="624"/>
      <c r="M223" s="622"/>
      <c r="N223" s="136"/>
      <c r="O223" s="622"/>
      <c r="P223" s="624"/>
      <c r="Q223" s="353"/>
      <c r="R223" s="353"/>
      <c r="S223" s="130"/>
    </row>
    <row r="224" spans="1:19" s="133" customFormat="1" x14ac:dyDescent="0.25">
      <c r="A224" s="489"/>
      <c r="B224" s="489"/>
      <c r="D224" s="622"/>
      <c r="E224" s="622"/>
      <c r="F224" s="622"/>
      <c r="G224" s="136"/>
      <c r="H224" s="622"/>
      <c r="I224" s="622"/>
      <c r="J224" s="622"/>
      <c r="K224" s="622"/>
      <c r="L224" s="624"/>
      <c r="M224" s="622"/>
      <c r="N224" s="136"/>
      <c r="O224" s="622"/>
      <c r="P224" s="624"/>
      <c r="Q224" s="353"/>
      <c r="R224" s="353"/>
      <c r="S224" s="130"/>
    </row>
    <row r="225" spans="1:19" s="133" customFormat="1" x14ac:dyDescent="0.25">
      <c r="A225" s="489"/>
      <c r="B225" s="489"/>
      <c r="D225" s="622"/>
      <c r="E225" s="622"/>
      <c r="F225" s="622"/>
      <c r="G225" s="136"/>
      <c r="H225" s="622"/>
      <c r="I225" s="622"/>
      <c r="J225" s="622"/>
      <c r="K225" s="622"/>
      <c r="L225" s="624"/>
      <c r="M225" s="622"/>
      <c r="N225" s="136"/>
      <c r="O225" s="622"/>
      <c r="P225" s="624"/>
      <c r="Q225" s="353"/>
      <c r="R225" s="353"/>
      <c r="S225" s="130"/>
    </row>
    <row r="226" spans="1:19" s="133" customFormat="1" x14ac:dyDescent="0.25">
      <c r="A226" s="489"/>
      <c r="B226" s="489"/>
      <c r="D226" s="622"/>
      <c r="E226" s="622"/>
      <c r="F226" s="622"/>
      <c r="G226" s="136"/>
      <c r="H226" s="622"/>
      <c r="I226" s="622"/>
      <c r="J226" s="622"/>
      <c r="K226" s="622"/>
      <c r="L226" s="624"/>
      <c r="M226" s="622"/>
      <c r="N226" s="136"/>
      <c r="O226" s="622"/>
      <c r="P226" s="624"/>
      <c r="Q226" s="353"/>
      <c r="R226" s="353"/>
      <c r="S226" s="130"/>
    </row>
    <row r="227" spans="1:19" s="133" customFormat="1" x14ac:dyDescent="0.25">
      <c r="A227" s="489"/>
      <c r="B227" s="489"/>
      <c r="D227" s="622"/>
      <c r="E227" s="622"/>
      <c r="F227" s="622"/>
      <c r="G227" s="136"/>
      <c r="H227" s="622"/>
      <c r="I227" s="622"/>
      <c r="J227" s="622"/>
      <c r="K227" s="622"/>
      <c r="L227" s="624"/>
      <c r="M227" s="622"/>
      <c r="N227" s="136"/>
      <c r="O227" s="622"/>
      <c r="P227" s="624"/>
      <c r="Q227" s="353"/>
      <c r="R227" s="353"/>
      <c r="S227" s="130"/>
    </row>
    <row r="228" spans="1:19" s="133" customFormat="1" x14ac:dyDescent="0.25">
      <c r="A228" s="489"/>
      <c r="B228" s="489"/>
      <c r="D228" s="622"/>
      <c r="E228" s="622"/>
      <c r="F228" s="622"/>
      <c r="G228" s="136"/>
      <c r="H228" s="622"/>
      <c r="I228" s="622"/>
      <c r="J228" s="622"/>
      <c r="K228" s="622"/>
      <c r="L228" s="624"/>
      <c r="M228" s="622"/>
      <c r="N228" s="136"/>
      <c r="O228" s="622"/>
      <c r="P228" s="624"/>
      <c r="Q228" s="353"/>
      <c r="R228" s="353"/>
      <c r="S228" s="130"/>
    </row>
    <row r="229" spans="1:19" s="133" customFormat="1" x14ac:dyDescent="0.25">
      <c r="A229" s="489"/>
      <c r="B229" s="489"/>
      <c r="D229" s="622"/>
      <c r="E229" s="622"/>
      <c r="F229" s="622"/>
      <c r="G229" s="136"/>
      <c r="H229" s="622"/>
      <c r="I229" s="622"/>
      <c r="J229" s="622"/>
      <c r="K229" s="622"/>
      <c r="L229" s="624"/>
      <c r="M229" s="622"/>
      <c r="N229" s="136"/>
      <c r="O229" s="622"/>
      <c r="P229" s="624"/>
      <c r="Q229" s="353"/>
      <c r="R229" s="353"/>
      <c r="S229" s="130"/>
    </row>
    <row r="230" spans="1:19" s="133" customFormat="1" x14ac:dyDescent="0.25">
      <c r="A230" s="489"/>
      <c r="B230" s="489"/>
      <c r="D230" s="622"/>
      <c r="E230" s="622"/>
      <c r="F230" s="622"/>
      <c r="G230" s="136"/>
      <c r="H230" s="622"/>
      <c r="I230" s="622"/>
      <c r="J230" s="622"/>
      <c r="K230" s="622"/>
      <c r="L230" s="624"/>
      <c r="M230" s="622"/>
      <c r="N230" s="136"/>
      <c r="O230" s="622"/>
      <c r="P230" s="624"/>
      <c r="Q230" s="353"/>
      <c r="R230" s="353"/>
      <c r="S230" s="130"/>
    </row>
    <row r="231" spans="1:19" s="133" customFormat="1" x14ac:dyDescent="0.25">
      <c r="A231" s="489"/>
      <c r="B231" s="489"/>
      <c r="D231" s="622"/>
      <c r="E231" s="622"/>
      <c r="F231" s="622"/>
      <c r="G231" s="136"/>
      <c r="H231" s="622"/>
      <c r="I231" s="622"/>
      <c r="J231" s="622"/>
      <c r="K231" s="622"/>
      <c r="L231" s="624"/>
      <c r="M231" s="622"/>
      <c r="N231" s="136"/>
      <c r="O231" s="622"/>
      <c r="P231" s="624"/>
      <c r="Q231" s="353"/>
      <c r="R231" s="353"/>
      <c r="S231" s="130"/>
    </row>
    <row r="232" spans="1:19" s="133" customFormat="1" x14ac:dyDescent="0.25">
      <c r="A232" s="489"/>
      <c r="B232" s="489"/>
      <c r="D232" s="622"/>
      <c r="E232" s="622"/>
      <c r="F232" s="622"/>
      <c r="G232" s="136"/>
      <c r="H232" s="622"/>
      <c r="I232" s="622"/>
      <c r="J232" s="622"/>
      <c r="K232" s="622"/>
      <c r="L232" s="624"/>
      <c r="M232" s="622"/>
      <c r="N232" s="136"/>
      <c r="O232" s="622"/>
      <c r="P232" s="624"/>
      <c r="Q232" s="353"/>
      <c r="R232" s="353"/>
      <c r="S232" s="130"/>
    </row>
    <row r="233" spans="1:19" s="133" customFormat="1" x14ac:dyDescent="0.25">
      <c r="A233" s="489"/>
      <c r="B233" s="489"/>
      <c r="D233" s="622"/>
      <c r="E233" s="622"/>
      <c r="F233" s="622"/>
      <c r="G233" s="136"/>
      <c r="H233" s="622"/>
      <c r="I233" s="622"/>
      <c r="J233" s="622"/>
      <c r="K233" s="622"/>
      <c r="L233" s="624"/>
      <c r="M233" s="622"/>
      <c r="N233" s="136"/>
      <c r="O233" s="622"/>
      <c r="P233" s="624"/>
      <c r="Q233" s="353"/>
      <c r="R233" s="353"/>
      <c r="S233" s="130"/>
    </row>
    <row r="234" spans="1:19" s="133" customFormat="1" x14ac:dyDescent="0.25">
      <c r="A234" s="489"/>
      <c r="B234" s="489"/>
      <c r="D234" s="622"/>
      <c r="E234" s="622"/>
      <c r="F234" s="622"/>
      <c r="G234" s="136"/>
      <c r="H234" s="622"/>
      <c r="I234" s="622"/>
      <c r="J234" s="622"/>
      <c r="K234" s="622"/>
      <c r="L234" s="624"/>
      <c r="M234" s="622"/>
      <c r="N234" s="136"/>
      <c r="O234" s="622"/>
      <c r="P234" s="624"/>
      <c r="Q234" s="353"/>
      <c r="R234" s="353"/>
      <c r="S234" s="130"/>
    </row>
    <row r="235" spans="1:19" s="133" customFormat="1" x14ac:dyDescent="0.25">
      <c r="A235" s="489"/>
      <c r="B235" s="489"/>
      <c r="D235" s="622"/>
      <c r="E235" s="622"/>
      <c r="F235" s="622"/>
      <c r="G235" s="136"/>
      <c r="H235" s="622"/>
      <c r="I235" s="622"/>
      <c r="J235" s="622"/>
      <c r="K235" s="622"/>
      <c r="L235" s="624"/>
      <c r="M235" s="622"/>
      <c r="N235" s="136"/>
      <c r="O235" s="622"/>
      <c r="P235" s="624"/>
      <c r="Q235" s="353"/>
      <c r="R235" s="353"/>
      <c r="S235" s="130"/>
    </row>
    <row r="236" spans="1:19" s="133" customFormat="1" x14ac:dyDescent="0.25">
      <c r="A236" s="489"/>
      <c r="B236" s="489"/>
      <c r="D236" s="622"/>
      <c r="E236" s="622"/>
      <c r="F236" s="622"/>
      <c r="G236" s="136"/>
      <c r="H236" s="622"/>
      <c r="I236" s="622"/>
      <c r="J236" s="622"/>
      <c r="K236" s="622"/>
      <c r="L236" s="624"/>
      <c r="M236" s="622"/>
      <c r="N236" s="136"/>
      <c r="O236" s="622"/>
      <c r="P236" s="624"/>
      <c r="Q236" s="353"/>
      <c r="R236" s="353"/>
      <c r="S236" s="130"/>
    </row>
    <row r="237" spans="1:19" s="133" customFormat="1" x14ac:dyDescent="0.25">
      <c r="A237" s="489"/>
      <c r="B237" s="489"/>
      <c r="D237" s="622"/>
      <c r="E237" s="622"/>
      <c r="F237" s="622"/>
      <c r="G237" s="136"/>
      <c r="H237" s="622"/>
      <c r="I237" s="622"/>
      <c r="J237" s="622"/>
      <c r="K237" s="622"/>
      <c r="L237" s="624"/>
      <c r="M237" s="622"/>
      <c r="N237" s="136"/>
      <c r="O237" s="622"/>
      <c r="P237" s="624"/>
      <c r="Q237" s="353"/>
      <c r="R237" s="353"/>
      <c r="S237" s="130"/>
    </row>
    <row r="238" spans="1:19" s="133" customFormat="1" x14ac:dyDescent="0.25">
      <c r="A238" s="489"/>
      <c r="B238" s="489"/>
      <c r="D238" s="622"/>
      <c r="E238" s="622"/>
      <c r="F238" s="622"/>
      <c r="G238" s="136"/>
      <c r="H238" s="622"/>
      <c r="I238" s="622"/>
      <c r="J238" s="622"/>
      <c r="K238" s="622"/>
      <c r="L238" s="624"/>
      <c r="M238" s="622"/>
      <c r="N238" s="136"/>
      <c r="O238" s="622"/>
      <c r="P238" s="624"/>
      <c r="Q238" s="353"/>
      <c r="R238" s="353"/>
      <c r="S238" s="130"/>
    </row>
    <row r="239" spans="1:19" s="133" customFormat="1" x14ac:dyDescent="0.25">
      <c r="A239" s="489"/>
      <c r="B239" s="489"/>
      <c r="D239" s="622"/>
      <c r="E239" s="622"/>
      <c r="F239" s="622"/>
      <c r="G239" s="136"/>
      <c r="H239" s="622"/>
      <c r="I239" s="622"/>
      <c r="J239" s="622"/>
      <c r="K239" s="622"/>
      <c r="L239" s="624"/>
      <c r="M239" s="622"/>
      <c r="N239" s="136"/>
      <c r="O239" s="622"/>
      <c r="P239" s="624"/>
      <c r="Q239" s="353"/>
      <c r="R239" s="353"/>
      <c r="S239" s="130"/>
    </row>
    <row r="240" spans="1:19" s="133" customFormat="1" x14ac:dyDescent="0.25">
      <c r="A240" s="489"/>
      <c r="B240" s="489"/>
      <c r="D240" s="622"/>
      <c r="E240" s="622"/>
      <c r="F240" s="622"/>
      <c r="G240" s="136"/>
      <c r="H240" s="622"/>
      <c r="I240" s="622"/>
      <c r="J240" s="622"/>
      <c r="K240" s="622"/>
      <c r="L240" s="624"/>
      <c r="M240" s="622"/>
      <c r="N240" s="136"/>
      <c r="O240" s="622"/>
      <c r="P240" s="624"/>
      <c r="Q240" s="353"/>
      <c r="R240" s="353"/>
      <c r="S240" s="130"/>
    </row>
    <row r="241" spans="1:19" s="133" customFormat="1" x14ac:dyDescent="0.25">
      <c r="A241" s="489"/>
      <c r="B241" s="489"/>
      <c r="D241" s="622"/>
      <c r="E241" s="622"/>
      <c r="F241" s="622"/>
      <c r="G241" s="136"/>
      <c r="H241" s="622"/>
      <c r="I241" s="622"/>
      <c r="J241" s="622"/>
      <c r="K241" s="622"/>
      <c r="L241" s="624"/>
      <c r="M241" s="622"/>
      <c r="N241" s="136"/>
      <c r="O241" s="622"/>
      <c r="P241" s="624"/>
      <c r="Q241" s="353"/>
      <c r="R241" s="353"/>
      <c r="S241" s="130"/>
    </row>
    <row r="242" spans="1:19" s="133" customFormat="1" x14ac:dyDescent="0.25">
      <c r="A242" s="489"/>
      <c r="B242" s="489"/>
      <c r="D242" s="622"/>
      <c r="E242" s="622"/>
      <c r="F242" s="622"/>
      <c r="G242" s="136"/>
      <c r="H242" s="622"/>
      <c r="I242" s="622"/>
      <c r="J242" s="622"/>
      <c r="K242" s="622"/>
      <c r="L242" s="624"/>
      <c r="M242" s="622"/>
      <c r="N242" s="136"/>
      <c r="O242" s="622"/>
      <c r="P242" s="624"/>
      <c r="Q242" s="353"/>
      <c r="R242" s="353"/>
      <c r="S242" s="130"/>
    </row>
    <row r="243" spans="1:19" s="133" customFormat="1" x14ac:dyDescent="0.25">
      <c r="A243" s="489"/>
      <c r="B243" s="489"/>
      <c r="D243" s="622"/>
      <c r="E243" s="622"/>
      <c r="F243" s="622"/>
      <c r="G243" s="136"/>
      <c r="H243" s="622"/>
      <c r="I243" s="622"/>
      <c r="J243" s="622"/>
      <c r="K243" s="622"/>
      <c r="L243" s="624"/>
      <c r="M243" s="622"/>
      <c r="N243" s="136"/>
      <c r="O243" s="622"/>
      <c r="P243" s="624"/>
      <c r="Q243" s="353"/>
      <c r="R243" s="353"/>
      <c r="S243" s="130"/>
    </row>
    <row r="244" spans="1:19" s="133" customFormat="1" x14ac:dyDescent="0.25">
      <c r="A244" s="489"/>
      <c r="B244" s="489"/>
      <c r="D244" s="622"/>
      <c r="E244" s="622"/>
      <c r="F244" s="622"/>
      <c r="G244" s="136"/>
      <c r="H244" s="622"/>
      <c r="I244" s="622"/>
      <c r="J244" s="622"/>
      <c r="K244" s="622"/>
      <c r="L244" s="624"/>
      <c r="M244" s="622"/>
      <c r="N244" s="136"/>
      <c r="O244" s="622"/>
      <c r="P244" s="624"/>
      <c r="Q244" s="353"/>
      <c r="R244" s="353"/>
      <c r="S244" s="130"/>
    </row>
    <row r="245" spans="1:19" s="133" customFormat="1" x14ac:dyDescent="0.25">
      <c r="A245" s="489"/>
      <c r="B245" s="489"/>
      <c r="D245" s="622"/>
      <c r="E245" s="622"/>
      <c r="F245" s="622"/>
      <c r="G245" s="136"/>
      <c r="H245" s="622"/>
      <c r="I245" s="622"/>
      <c r="J245" s="622"/>
      <c r="K245" s="622"/>
      <c r="L245" s="624"/>
      <c r="M245" s="622"/>
      <c r="N245" s="136"/>
      <c r="O245" s="622"/>
      <c r="P245" s="624"/>
      <c r="Q245" s="353"/>
      <c r="R245" s="353"/>
      <c r="S245" s="130"/>
    </row>
    <row r="246" spans="1:19" s="133" customFormat="1" x14ac:dyDescent="0.25">
      <c r="A246" s="489"/>
      <c r="B246" s="489"/>
      <c r="D246" s="622"/>
      <c r="E246" s="622"/>
      <c r="F246" s="622"/>
      <c r="G246" s="136"/>
      <c r="H246" s="622"/>
      <c r="I246" s="622"/>
      <c r="J246" s="622"/>
      <c r="K246" s="622"/>
      <c r="L246" s="624"/>
      <c r="M246" s="622"/>
      <c r="N246" s="136"/>
      <c r="O246" s="622"/>
      <c r="P246" s="624"/>
      <c r="Q246" s="353"/>
      <c r="R246" s="353"/>
      <c r="S246" s="130"/>
    </row>
    <row r="247" spans="1:19" s="133" customFormat="1" x14ac:dyDescent="0.25">
      <c r="A247" s="489"/>
      <c r="B247" s="489"/>
      <c r="D247" s="622"/>
      <c r="E247" s="622"/>
      <c r="F247" s="622"/>
      <c r="G247" s="136"/>
      <c r="H247" s="622"/>
      <c r="I247" s="622"/>
      <c r="J247" s="622"/>
      <c r="K247" s="622"/>
      <c r="L247" s="624"/>
      <c r="M247" s="622"/>
      <c r="N247" s="136"/>
      <c r="O247" s="622"/>
      <c r="P247" s="624"/>
      <c r="Q247" s="353"/>
      <c r="R247" s="353"/>
      <c r="S247" s="130"/>
    </row>
    <row r="248" spans="1:19" s="133" customFormat="1" x14ac:dyDescent="0.25">
      <c r="A248" s="489"/>
      <c r="B248" s="489"/>
      <c r="D248" s="622"/>
      <c r="E248" s="622"/>
      <c r="F248" s="622"/>
      <c r="G248" s="136"/>
      <c r="H248" s="622"/>
      <c r="I248" s="622"/>
      <c r="J248" s="622"/>
      <c r="K248" s="622"/>
      <c r="L248" s="624"/>
      <c r="M248" s="622"/>
      <c r="N248" s="136"/>
      <c r="O248" s="622"/>
      <c r="P248" s="624"/>
      <c r="Q248" s="353"/>
      <c r="R248" s="353"/>
      <c r="S248" s="130"/>
    </row>
    <row r="249" spans="1:19" s="133" customFormat="1" x14ac:dyDescent="0.25">
      <c r="A249" s="489"/>
      <c r="B249" s="489"/>
      <c r="D249" s="622"/>
      <c r="E249" s="622"/>
      <c r="F249" s="622"/>
      <c r="G249" s="136"/>
      <c r="H249" s="622"/>
      <c r="I249" s="622"/>
      <c r="J249" s="622"/>
      <c r="K249" s="622"/>
      <c r="L249" s="624"/>
      <c r="M249" s="622"/>
      <c r="N249" s="136"/>
      <c r="O249" s="622"/>
      <c r="P249" s="624"/>
      <c r="Q249" s="353"/>
      <c r="R249" s="353"/>
      <c r="S249" s="130"/>
    </row>
    <row r="250" spans="1:19" s="133" customFormat="1" x14ac:dyDescent="0.25">
      <c r="A250" s="489"/>
      <c r="B250" s="489"/>
      <c r="D250" s="622"/>
      <c r="E250" s="622"/>
      <c r="F250" s="622"/>
      <c r="G250" s="136"/>
      <c r="H250" s="622"/>
      <c r="I250" s="622"/>
      <c r="J250" s="622"/>
      <c r="K250" s="622"/>
      <c r="L250" s="624"/>
      <c r="M250" s="622"/>
      <c r="N250" s="136"/>
      <c r="O250" s="622"/>
      <c r="P250" s="624"/>
      <c r="Q250" s="353"/>
      <c r="R250" s="353"/>
      <c r="S250" s="130"/>
    </row>
    <row r="251" spans="1:19" s="133" customFormat="1" x14ac:dyDescent="0.25">
      <c r="A251" s="489"/>
      <c r="B251" s="489"/>
      <c r="D251" s="622"/>
      <c r="E251" s="622"/>
      <c r="F251" s="622"/>
      <c r="G251" s="136"/>
      <c r="H251" s="622"/>
      <c r="I251" s="622"/>
      <c r="J251" s="622"/>
      <c r="K251" s="622"/>
      <c r="L251" s="624"/>
      <c r="M251" s="622"/>
      <c r="N251" s="136"/>
      <c r="O251" s="622"/>
      <c r="P251" s="624"/>
      <c r="Q251" s="353"/>
      <c r="R251" s="353"/>
      <c r="S251" s="130"/>
    </row>
    <row r="252" spans="1:19" s="133" customFormat="1" x14ac:dyDescent="0.25">
      <c r="A252" s="489"/>
      <c r="B252" s="489"/>
      <c r="D252" s="622"/>
      <c r="E252" s="622"/>
      <c r="F252" s="622"/>
      <c r="G252" s="136"/>
      <c r="H252" s="622"/>
      <c r="I252" s="622"/>
      <c r="J252" s="622"/>
      <c r="K252" s="622"/>
      <c r="L252" s="624"/>
      <c r="M252" s="622"/>
      <c r="N252" s="136"/>
      <c r="O252" s="622"/>
      <c r="P252" s="624"/>
      <c r="Q252" s="353"/>
      <c r="R252" s="353"/>
      <c r="S252" s="130"/>
    </row>
    <row r="253" spans="1:19" s="133" customFormat="1" x14ac:dyDescent="0.25">
      <c r="A253" s="489"/>
      <c r="B253" s="489"/>
      <c r="D253" s="622"/>
      <c r="E253" s="622"/>
      <c r="F253" s="622"/>
      <c r="G253" s="136"/>
      <c r="H253" s="622"/>
      <c r="I253" s="622"/>
      <c r="J253" s="622"/>
      <c r="K253" s="622"/>
      <c r="L253" s="624"/>
      <c r="M253" s="622"/>
      <c r="N253" s="136"/>
      <c r="O253" s="622"/>
      <c r="P253" s="624"/>
      <c r="Q253" s="353"/>
      <c r="R253" s="353"/>
      <c r="S253" s="130"/>
    </row>
    <row r="254" spans="1:19" s="133" customFormat="1" x14ac:dyDescent="0.25">
      <c r="A254" s="489"/>
      <c r="B254" s="489"/>
      <c r="D254" s="622"/>
      <c r="E254" s="622"/>
      <c r="F254" s="622"/>
      <c r="G254" s="136"/>
      <c r="H254" s="622"/>
      <c r="I254" s="622"/>
      <c r="J254" s="622"/>
      <c r="K254" s="622"/>
      <c r="L254" s="624"/>
      <c r="M254" s="622"/>
      <c r="N254" s="136"/>
      <c r="O254" s="622"/>
      <c r="P254" s="624"/>
      <c r="Q254" s="353"/>
      <c r="R254" s="353"/>
      <c r="S254" s="130"/>
    </row>
    <row r="255" spans="1:19" s="133" customFormat="1" x14ac:dyDescent="0.25">
      <c r="A255" s="489"/>
      <c r="B255" s="489"/>
      <c r="D255" s="622"/>
      <c r="E255" s="622"/>
      <c r="F255" s="622"/>
      <c r="G255" s="136"/>
      <c r="H255" s="622"/>
      <c r="I255" s="622"/>
      <c r="J255" s="622"/>
      <c r="K255" s="622"/>
      <c r="L255" s="624"/>
      <c r="M255" s="622"/>
      <c r="N255" s="136"/>
      <c r="O255" s="622"/>
      <c r="P255" s="624"/>
      <c r="Q255" s="353"/>
      <c r="R255" s="353"/>
      <c r="S255" s="130"/>
    </row>
    <row r="256" spans="1:19" s="133" customFormat="1" x14ac:dyDescent="0.25">
      <c r="A256" s="489"/>
      <c r="B256" s="489"/>
      <c r="D256" s="622"/>
      <c r="E256" s="622"/>
      <c r="F256" s="622"/>
      <c r="G256" s="136"/>
      <c r="H256" s="622"/>
      <c r="I256" s="622"/>
      <c r="J256" s="622"/>
      <c r="K256" s="622"/>
      <c r="L256" s="624"/>
      <c r="M256" s="622"/>
      <c r="N256" s="136"/>
      <c r="O256" s="622"/>
      <c r="P256" s="624"/>
      <c r="Q256" s="353"/>
      <c r="R256" s="353"/>
      <c r="S256" s="130"/>
    </row>
    <row r="257" spans="1:19" s="133" customFormat="1" x14ac:dyDescent="0.25">
      <c r="A257" s="489"/>
      <c r="B257" s="489"/>
      <c r="D257" s="622"/>
      <c r="E257" s="622"/>
      <c r="F257" s="622"/>
      <c r="G257" s="136"/>
      <c r="H257" s="622"/>
      <c r="I257" s="622"/>
      <c r="J257" s="622"/>
      <c r="K257" s="622"/>
      <c r="L257" s="624"/>
      <c r="M257" s="622"/>
      <c r="N257" s="136"/>
      <c r="O257" s="622"/>
      <c r="P257" s="624"/>
      <c r="Q257" s="353"/>
      <c r="R257" s="353"/>
      <c r="S257" s="130"/>
    </row>
    <row r="258" spans="1:19" s="133" customFormat="1" x14ac:dyDescent="0.25">
      <c r="A258" s="489"/>
      <c r="B258" s="489"/>
      <c r="D258" s="622"/>
      <c r="E258" s="622"/>
      <c r="F258" s="622"/>
      <c r="G258" s="136"/>
      <c r="H258" s="622"/>
      <c r="I258" s="622"/>
      <c r="J258" s="622"/>
      <c r="K258" s="622"/>
      <c r="L258" s="624"/>
      <c r="M258" s="622"/>
      <c r="N258" s="136"/>
      <c r="O258" s="622"/>
      <c r="P258" s="624"/>
      <c r="Q258" s="353"/>
      <c r="R258" s="353"/>
      <c r="S258" s="130"/>
    </row>
    <row r="259" spans="1:19" s="133" customFormat="1" x14ac:dyDescent="0.25">
      <c r="A259" s="489"/>
      <c r="B259" s="489"/>
      <c r="D259" s="622"/>
      <c r="E259" s="622"/>
      <c r="F259" s="622"/>
      <c r="G259" s="136"/>
      <c r="H259" s="622"/>
      <c r="I259" s="622"/>
      <c r="J259" s="622"/>
      <c r="K259" s="622"/>
      <c r="L259" s="624"/>
      <c r="M259" s="622"/>
      <c r="N259" s="136"/>
      <c r="O259" s="622"/>
      <c r="P259" s="624"/>
      <c r="Q259" s="353"/>
      <c r="R259" s="353"/>
      <c r="S259" s="130"/>
    </row>
    <row r="260" spans="1:19" s="133" customFormat="1" x14ac:dyDescent="0.25">
      <c r="A260" s="489"/>
      <c r="B260" s="489"/>
      <c r="D260" s="622"/>
      <c r="E260" s="622"/>
      <c r="F260" s="622"/>
      <c r="G260" s="136"/>
      <c r="H260" s="622"/>
      <c r="I260" s="622"/>
      <c r="J260" s="622"/>
      <c r="K260" s="622"/>
      <c r="L260" s="624"/>
      <c r="M260" s="622"/>
      <c r="N260" s="136"/>
      <c r="O260" s="622"/>
      <c r="P260" s="624"/>
      <c r="Q260" s="353"/>
      <c r="R260" s="353"/>
      <c r="S260" s="130"/>
    </row>
    <row r="261" spans="1:19" s="133" customFormat="1" x14ac:dyDescent="0.25">
      <c r="A261" s="489"/>
      <c r="B261" s="489"/>
      <c r="D261" s="622"/>
      <c r="E261" s="622"/>
      <c r="F261" s="622"/>
      <c r="G261" s="136"/>
      <c r="H261" s="622"/>
      <c r="I261" s="622"/>
      <c r="J261" s="622"/>
      <c r="K261" s="622"/>
      <c r="L261" s="624"/>
      <c r="M261" s="622"/>
      <c r="N261" s="136"/>
      <c r="O261" s="622"/>
      <c r="P261" s="624"/>
      <c r="Q261" s="353"/>
      <c r="R261" s="353"/>
      <c r="S261" s="130"/>
    </row>
    <row r="262" spans="1:19" s="133" customFormat="1" x14ac:dyDescent="0.25">
      <c r="A262" s="489"/>
      <c r="B262" s="489"/>
      <c r="D262" s="622"/>
      <c r="E262" s="622"/>
      <c r="F262" s="622"/>
      <c r="G262" s="136"/>
      <c r="H262" s="622"/>
      <c r="I262" s="622"/>
      <c r="J262" s="622"/>
      <c r="K262" s="622"/>
      <c r="L262" s="624"/>
      <c r="M262" s="622"/>
      <c r="N262" s="136"/>
      <c r="O262" s="622"/>
      <c r="P262" s="624"/>
      <c r="Q262" s="353"/>
      <c r="R262" s="353"/>
      <c r="S262" s="130"/>
    </row>
    <row r="263" spans="1:19" s="133" customFormat="1" x14ac:dyDescent="0.25">
      <c r="A263" s="489"/>
      <c r="B263" s="489"/>
      <c r="D263" s="622"/>
      <c r="E263" s="622"/>
      <c r="F263" s="622"/>
      <c r="G263" s="136"/>
      <c r="H263" s="622"/>
      <c r="I263" s="622"/>
      <c r="J263" s="622"/>
      <c r="K263" s="622"/>
      <c r="L263" s="624"/>
      <c r="M263" s="622"/>
      <c r="N263" s="136"/>
      <c r="O263" s="622"/>
      <c r="P263" s="624"/>
      <c r="Q263" s="353"/>
      <c r="R263" s="353"/>
      <c r="S263" s="130"/>
    </row>
    <row r="264" spans="1:19" s="133" customFormat="1" x14ac:dyDescent="0.25">
      <c r="A264" s="489"/>
      <c r="B264" s="489"/>
      <c r="D264" s="622"/>
      <c r="E264" s="622"/>
      <c r="F264" s="622"/>
      <c r="G264" s="136"/>
      <c r="H264" s="622"/>
      <c r="I264" s="622"/>
      <c r="J264" s="622"/>
      <c r="K264" s="622"/>
      <c r="L264" s="624"/>
      <c r="M264" s="622"/>
      <c r="N264" s="136"/>
      <c r="O264" s="622"/>
      <c r="P264" s="624"/>
      <c r="Q264" s="353"/>
      <c r="R264" s="353"/>
      <c r="S264" s="130"/>
    </row>
    <row r="265" spans="1:19" s="133" customFormat="1" x14ac:dyDescent="0.25">
      <c r="A265" s="489"/>
      <c r="B265" s="489"/>
      <c r="D265" s="622"/>
      <c r="E265" s="622"/>
      <c r="F265" s="622"/>
      <c r="G265" s="136"/>
      <c r="H265" s="622"/>
      <c r="I265" s="622"/>
      <c r="J265" s="622"/>
      <c r="K265" s="622"/>
      <c r="L265" s="624"/>
      <c r="M265" s="622"/>
      <c r="N265" s="136"/>
      <c r="O265" s="622"/>
      <c r="P265" s="624"/>
      <c r="Q265" s="353"/>
      <c r="R265" s="353"/>
      <c r="S265" s="130"/>
    </row>
    <row r="266" spans="1:19" s="133" customFormat="1" x14ac:dyDescent="0.25">
      <c r="A266" s="489"/>
      <c r="B266" s="489"/>
      <c r="D266" s="622"/>
      <c r="E266" s="622"/>
      <c r="F266" s="622"/>
      <c r="G266" s="136"/>
      <c r="H266" s="622"/>
      <c r="I266" s="622"/>
      <c r="J266" s="622"/>
      <c r="K266" s="622"/>
      <c r="L266" s="624"/>
      <c r="M266" s="622"/>
      <c r="N266" s="136"/>
      <c r="O266" s="622"/>
      <c r="P266" s="624"/>
      <c r="Q266" s="353"/>
      <c r="R266" s="353"/>
      <c r="S266" s="130"/>
    </row>
    <row r="267" spans="1:19" s="133" customFormat="1" x14ac:dyDescent="0.25">
      <c r="A267" s="489"/>
      <c r="B267" s="489"/>
      <c r="D267" s="622"/>
      <c r="E267" s="622"/>
      <c r="F267" s="622"/>
      <c r="G267" s="136"/>
      <c r="H267" s="622"/>
      <c r="I267" s="622"/>
      <c r="J267" s="622"/>
      <c r="K267" s="622"/>
      <c r="L267" s="624"/>
      <c r="M267" s="622"/>
      <c r="N267" s="136"/>
      <c r="O267" s="622"/>
      <c r="P267" s="624"/>
      <c r="Q267" s="353"/>
      <c r="R267" s="353"/>
      <c r="S267" s="130"/>
    </row>
    <row r="268" spans="1:19" s="133" customFormat="1" x14ac:dyDescent="0.25">
      <c r="A268" s="489"/>
      <c r="B268" s="489"/>
      <c r="D268" s="622"/>
      <c r="E268" s="622"/>
      <c r="F268" s="622"/>
      <c r="G268" s="136"/>
      <c r="H268" s="622"/>
      <c r="I268" s="622"/>
      <c r="J268" s="622"/>
      <c r="K268" s="622"/>
      <c r="L268" s="624"/>
      <c r="M268" s="622"/>
      <c r="N268" s="136"/>
      <c r="O268" s="622"/>
      <c r="P268" s="624"/>
      <c r="Q268" s="353"/>
      <c r="R268" s="353"/>
      <c r="S268" s="130"/>
    </row>
    <row r="269" spans="1:19" s="133" customFormat="1" x14ac:dyDescent="0.25">
      <c r="A269" s="489"/>
      <c r="B269" s="489"/>
      <c r="D269" s="622"/>
      <c r="E269" s="622"/>
      <c r="F269" s="622"/>
      <c r="G269" s="136"/>
      <c r="H269" s="622"/>
      <c r="I269" s="622"/>
      <c r="J269" s="622"/>
      <c r="K269" s="622"/>
      <c r="L269" s="624"/>
      <c r="M269" s="622"/>
      <c r="N269" s="136"/>
      <c r="O269" s="622"/>
      <c r="P269" s="624"/>
      <c r="Q269" s="353"/>
      <c r="R269" s="353"/>
      <c r="S269" s="130"/>
    </row>
    <row r="270" spans="1:19" s="133" customFormat="1" x14ac:dyDescent="0.25">
      <c r="A270" s="489"/>
      <c r="B270" s="489"/>
      <c r="D270" s="622"/>
      <c r="E270" s="622"/>
      <c r="F270" s="622"/>
      <c r="G270" s="136"/>
      <c r="H270" s="622"/>
      <c r="I270" s="622"/>
      <c r="J270" s="622"/>
      <c r="K270" s="622"/>
      <c r="L270" s="624"/>
      <c r="M270" s="622"/>
      <c r="N270" s="136"/>
      <c r="O270" s="622"/>
      <c r="P270" s="624"/>
      <c r="Q270" s="353"/>
      <c r="R270" s="353"/>
      <c r="S270" s="130"/>
    </row>
    <row r="271" spans="1:19" s="133" customFormat="1" x14ac:dyDescent="0.25">
      <c r="A271" s="489"/>
      <c r="B271" s="489"/>
      <c r="D271" s="622"/>
      <c r="E271" s="622"/>
      <c r="F271" s="622"/>
      <c r="G271" s="136"/>
      <c r="H271" s="622"/>
      <c r="I271" s="622"/>
      <c r="J271" s="622"/>
      <c r="K271" s="622"/>
      <c r="L271" s="624"/>
      <c r="M271" s="622"/>
      <c r="N271" s="136"/>
      <c r="O271" s="622"/>
      <c r="P271" s="624"/>
      <c r="Q271" s="353"/>
      <c r="R271" s="353"/>
      <c r="S271" s="130"/>
    </row>
    <row r="272" spans="1:19" s="133" customFormat="1" x14ac:dyDescent="0.25">
      <c r="A272" s="489"/>
      <c r="B272" s="489"/>
      <c r="D272" s="622"/>
      <c r="E272" s="622"/>
      <c r="F272" s="622"/>
      <c r="G272" s="136"/>
      <c r="H272" s="622"/>
      <c r="I272" s="622"/>
      <c r="J272" s="622"/>
      <c r="K272" s="622"/>
      <c r="L272" s="624"/>
      <c r="M272" s="622"/>
      <c r="N272" s="136"/>
      <c r="O272" s="622"/>
      <c r="P272" s="624"/>
      <c r="Q272" s="353"/>
      <c r="R272" s="353"/>
      <c r="S272" s="130"/>
    </row>
    <row r="273" spans="1:19" s="133" customFormat="1" x14ac:dyDescent="0.25">
      <c r="A273" s="489"/>
      <c r="B273" s="489"/>
      <c r="D273" s="622"/>
      <c r="E273" s="622"/>
      <c r="F273" s="622"/>
      <c r="G273" s="136"/>
      <c r="H273" s="622"/>
      <c r="I273" s="622"/>
      <c r="J273" s="622"/>
      <c r="K273" s="622"/>
      <c r="L273" s="624"/>
      <c r="M273" s="622"/>
      <c r="N273" s="136"/>
      <c r="O273" s="622"/>
      <c r="P273" s="624"/>
      <c r="Q273" s="353"/>
      <c r="R273" s="353"/>
      <c r="S273" s="130"/>
    </row>
    <row r="274" spans="1:19" s="133" customFormat="1" x14ac:dyDescent="0.25">
      <c r="A274" s="489"/>
      <c r="B274" s="489"/>
      <c r="D274" s="622"/>
      <c r="E274" s="622"/>
      <c r="F274" s="622"/>
      <c r="G274" s="136"/>
      <c r="H274" s="622"/>
      <c r="I274" s="622"/>
      <c r="J274" s="622"/>
      <c r="K274" s="622"/>
      <c r="L274" s="624"/>
      <c r="M274" s="622"/>
      <c r="N274" s="136"/>
      <c r="O274" s="622"/>
      <c r="P274" s="624"/>
      <c r="Q274" s="353"/>
      <c r="R274" s="353"/>
      <c r="S274" s="130"/>
    </row>
    <row r="275" spans="1:19" s="133" customFormat="1" x14ac:dyDescent="0.25">
      <c r="A275" s="489"/>
      <c r="B275" s="489"/>
      <c r="D275" s="622"/>
      <c r="E275" s="622"/>
      <c r="F275" s="622"/>
      <c r="G275" s="136"/>
      <c r="H275" s="622"/>
      <c r="I275" s="622"/>
      <c r="J275" s="622"/>
      <c r="K275" s="622"/>
      <c r="L275" s="624"/>
      <c r="M275" s="622"/>
      <c r="N275" s="136"/>
      <c r="O275" s="622"/>
      <c r="P275" s="624"/>
      <c r="Q275" s="353"/>
      <c r="R275" s="353"/>
      <c r="S275" s="130"/>
    </row>
    <row r="276" spans="1:19" s="133" customFormat="1" x14ac:dyDescent="0.25">
      <c r="A276" s="489"/>
      <c r="B276" s="489"/>
      <c r="D276" s="622"/>
      <c r="E276" s="622"/>
      <c r="F276" s="622"/>
      <c r="G276" s="136"/>
      <c r="H276" s="622"/>
      <c r="I276" s="622"/>
      <c r="J276" s="622"/>
      <c r="K276" s="622"/>
      <c r="L276" s="624"/>
      <c r="M276" s="622"/>
      <c r="N276" s="136"/>
      <c r="O276" s="622"/>
      <c r="P276" s="624"/>
      <c r="Q276" s="353"/>
      <c r="R276" s="353"/>
      <c r="S276" s="130"/>
    </row>
    <row r="277" spans="1:19" s="133" customFormat="1" x14ac:dyDescent="0.25">
      <c r="A277" s="489"/>
      <c r="B277" s="489"/>
      <c r="D277" s="622"/>
      <c r="E277" s="622"/>
      <c r="F277" s="622"/>
      <c r="G277" s="136"/>
      <c r="H277" s="622"/>
      <c r="I277" s="622"/>
      <c r="J277" s="622"/>
      <c r="K277" s="622"/>
      <c r="L277" s="624"/>
      <c r="M277" s="622"/>
      <c r="N277" s="136"/>
      <c r="O277" s="622"/>
      <c r="P277" s="624"/>
      <c r="Q277" s="353"/>
      <c r="R277" s="353"/>
      <c r="S277" s="130"/>
    </row>
    <row r="278" spans="1:19" s="133" customFormat="1" x14ac:dyDescent="0.25">
      <c r="A278" s="489"/>
      <c r="B278" s="489"/>
      <c r="D278" s="622"/>
      <c r="E278" s="622"/>
      <c r="F278" s="622"/>
      <c r="G278" s="136"/>
      <c r="H278" s="622"/>
      <c r="I278" s="622"/>
      <c r="J278" s="622"/>
      <c r="K278" s="622"/>
      <c r="L278" s="624"/>
      <c r="M278" s="622"/>
      <c r="N278" s="136"/>
      <c r="O278" s="622"/>
      <c r="P278" s="624"/>
      <c r="Q278" s="353"/>
      <c r="R278" s="353"/>
      <c r="S278" s="130"/>
    </row>
    <row r="279" spans="1:19" s="133" customFormat="1" x14ac:dyDescent="0.25">
      <c r="A279" s="489"/>
      <c r="B279" s="489"/>
      <c r="D279" s="622"/>
      <c r="E279" s="622"/>
      <c r="F279" s="622"/>
      <c r="G279" s="136"/>
      <c r="H279" s="622"/>
      <c r="I279" s="622"/>
      <c r="J279" s="622"/>
      <c r="K279" s="622"/>
      <c r="L279" s="624"/>
      <c r="M279" s="622"/>
      <c r="N279" s="136"/>
      <c r="O279" s="622"/>
      <c r="P279" s="624"/>
      <c r="Q279" s="353"/>
      <c r="R279" s="353"/>
      <c r="S279" s="130"/>
    </row>
    <row r="280" spans="1:19" s="133" customFormat="1" x14ac:dyDescent="0.25">
      <c r="A280" s="489"/>
      <c r="B280" s="489"/>
      <c r="D280" s="622"/>
      <c r="E280" s="622"/>
      <c r="F280" s="622"/>
      <c r="G280" s="136"/>
      <c r="H280" s="622"/>
      <c r="I280" s="622"/>
      <c r="J280" s="622"/>
      <c r="K280" s="622"/>
      <c r="L280" s="624"/>
      <c r="M280" s="622"/>
      <c r="N280" s="136"/>
      <c r="O280" s="622"/>
      <c r="P280" s="624"/>
      <c r="Q280" s="353"/>
      <c r="R280" s="353"/>
      <c r="S280" s="130"/>
    </row>
    <row r="281" spans="1:19" s="133" customFormat="1" x14ac:dyDescent="0.25">
      <c r="A281" s="489"/>
      <c r="B281" s="489"/>
      <c r="D281" s="622"/>
      <c r="E281" s="622"/>
      <c r="F281" s="622"/>
      <c r="G281" s="136"/>
      <c r="H281" s="622"/>
      <c r="I281" s="622"/>
      <c r="J281" s="622"/>
      <c r="K281" s="622"/>
      <c r="L281" s="624"/>
      <c r="M281" s="622"/>
      <c r="N281" s="136"/>
      <c r="O281" s="622"/>
      <c r="P281" s="624"/>
      <c r="Q281" s="353"/>
      <c r="R281" s="353"/>
      <c r="S281" s="130"/>
    </row>
    <row r="282" spans="1:19" s="133" customFormat="1" x14ac:dyDescent="0.25">
      <c r="A282" s="489"/>
      <c r="B282" s="489"/>
      <c r="D282" s="622"/>
      <c r="E282" s="622"/>
      <c r="F282" s="622"/>
      <c r="G282" s="136"/>
      <c r="H282" s="622"/>
      <c r="I282" s="622"/>
      <c r="J282" s="622"/>
      <c r="K282" s="622"/>
      <c r="L282" s="624"/>
      <c r="M282" s="622"/>
      <c r="N282" s="136"/>
      <c r="O282" s="622"/>
      <c r="P282" s="624"/>
      <c r="Q282" s="353"/>
      <c r="R282" s="353"/>
      <c r="S282" s="130"/>
    </row>
    <row r="283" spans="1:19" s="133" customFormat="1" x14ac:dyDescent="0.25">
      <c r="A283" s="489"/>
      <c r="B283" s="489"/>
      <c r="D283" s="622"/>
      <c r="E283" s="622"/>
      <c r="F283" s="622"/>
      <c r="G283" s="136"/>
      <c r="H283" s="622"/>
      <c r="I283" s="622"/>
      <c r="J283" s="622"/>
      <c r="K283" s="622"/>
      <c r="L283" s="624"/>
      <c r="M283" s="622"/>
      <c r="N283" s="136"/>
      <c r="O283" s="622"/>
      <c r="P283" s="624"/>
      <c r="Q283" s="353"/>
      <c r="R283" s="353"/>
      <c r="S283" s="130"/>
    </row>
    <row r="284" spans="1:19" s="133" customFormat="1" x14ac:dyDescent="0.25">
      <c r="A284" s="489"/>
      <c r="B284" s="489"/>
      <c r="D284" s="622"/>
      <c r="E284" s="622"/>
      <c r="F284" s="622"/>
      <c r="G284" s="136"/>
      <c r="H284" s="622"/>
      <c r="I284" s="622"/>
      <c r="J284" s="622"/>
      <c r="K284" s="622"/>
      <c r="L284" s="624"/>
      <c r="M284" s="622"/>
      <c r="N284" s="136"/>
      <c r="O284" s="622"/>
      <c r="P284" s="624"/>
      <c r="Q284" s="353"/>
      <c r="R284" s="353"/>
      <c r="S284" s="130"/>
    </row>
    <row r="285" spans="1:19" s="133" customFormat="1" x14ac:dyDescent="0.25">
      <c r="A285" s="489"/>
      <c r="B285" s="489"/>
      <c r="D285" s="622"/>
      <c r="E285" s="622"/>
      <c r="F285" s="622"/>
      <c r="G285" s="136"/>
      <c r="H285" s="622"/>
      <c r="I285" s="622"/>
      <c r="J285" s="622"/>
      <c r="K285" s="622"/>
      <c r="L285" s="624"/>
      <c r="M285" s="622"/>
      <c r="N285" s="136"/>
      <c r="O285" s="622"/>
      <c r="P285" s="624"/>
      <c r="Q285" s="353"/>
      <c r="R285" s="353"/>
      <c r="S285" s="130"/>
    </row>
    <row r="286" spans="1:19" s="133" customFormat="1" x14ac:dyDescent="0.25">
      <c r="A286" s="489"/>
      <c r="B286" s="489"/>
      <c r="D286" s="622"/>
      <c r="E286" s="622"/>
      <c r="F286" s="622"/>
      <c r="G286" s="136"/>
      <c r="H286" s="622"/>
      <c r="I286" s="622"/>
      <c r="J286" s="622"/>
      <c r="K286" s="622"/>
      <c r="L286" s="624"/>
      <c r="M286" s="622"/>
      <c r="N286" s="136"/>
      <c r="O286" s="622"/>
      <c r="P286" s="624"/>
      <c r="Q286" s="353"/>
      <c r="R286" s="353"/>
      <c r="S286" s="130"/>
    </row>
    <row r="287" spans="1:19" s="133" customFormat="1" x14ac:dyDescent="0.25">
      <c r="A287" s="489"/>
      <c r="B287" s="489"/>
      <c r="D287" s="622"/>
      <c r="E287" s="622"/>
      <c r="F287" s="622"/>
      <c r="G287" s="136"/>
      <c r="H287" s="622"/>
      <c r="I287" s="622"/>
      <c r="J287" s="622"/>
      <c r="K287" s="622"/>
      <c r="L287" s="624"/>
      <c r="M287" s="622"/>
      <c r="N287" s="136"/>
      <c r="O287" s="622"/>
      <c r="P287" s="624"/>
      <c r="Q287" s="353"/>
      <c r="R287" s="353"/>
      <c r="S287" s="130"/>
    </row>
    <row r="288" spans="1:19" s="133" customFormat="1" x14ac:dyDescent="0.25">
      <c r="A288" s="489"/>
      <c r="B288" s="489"/>
      <c r="D288" s="622"/>
      <c r="E288" s="622"/>
      <c r="F288" s="622"/>
      <c r="G288" s="136"/>
      <c r="H288" s="622"/>
      <c r="I288" s="622"/>
      <c r="J288" s="622"/>
      <c r="K288" s="622"/>
      <c r="L288" s="624"/>
      <c r="M288" s="622"/>
      <c r="N288" s="136"/>
      <c r="O288" s="622"/>
      <c r="P288" s="624"/>
      <c r="Q288" s="353"/>
      <c r="R288" s="353"/>
      <c r="S288" s="130"/>
    </row>
    <row r="289" spans="1:19" s="133" customFormat="1" x14ac:dyDescent="0.25">
      <c r="A289" s="489"/>
      <c r="B289" s="489"/>
      <c r="D289" s="622"/>
      <c r="E289" s="622"/>
      <c r="F289" s="622"/>
      <c r="G289" s="136"/>
      <c r="H289" s="622"/>
      <c r="I289" s="622"/>
      <c r="J289" s="622"/>
      <c r="K289" s="622"/>
      <c r="L289" s="624"/>
      <c r="M289" s="622"/>
      <c r="N289" s="136"/>
      <c r="O289" s="622"/>
      <c r="P289" s="624"/>
      <c r="Q289" s="353"/>
      <c r="R289" s="353"/>
      <c r="S289" s="130"/>
    </row>
    <row r="290" spans="1:19" s="133" customFormat="1" x14ac:dyDescent="0.25">
      <c r="A290" s="489"/>
      <c r="B290" s="489"/>
      <c r="D290" s="622"/>
      <c r="E290" s="622"/>
      <c r="F290" s="622"/>
      <c r="G290" s="136"/>
      <c r="H290" s="622"/>
      <c r="I290" s="622"/>
      <c r="J290" s="622"/>
      <c r="K290" s="622"/>
      <c r="L290" s="624"/>
      <c r="M290" s="622"/>
      <c r="N290" s="136"/>
      <c r="O290" s="622"/>
      <c r="P290" s="624"/>
      <c r="Q290" s="353"/>
      <c r="R290" s="353"/>
      <c r="S290" s="130"/>
    </row>
    <row r="291" spans="1:19" s="133" customFormat="1" x14ac:dyDescent="0.25">
      <c r="A291" s="489"/>
      <c r="B291" s="489"/>
      <c r="D291" s="622"/>
      <c r="E291" s="622"/>
      <c r="F291" s="622"/>
      <c r="G291" s="136"/>
      <c r="H291" s="622"/>
      <c r="I291" s="622"/>
      <c r="J291" s="622"/>
      <c r="K291" s="622"/>
      <c r="L291" s="624"/>
      <c r="M291" s="622"/>
      <c r="N291" s="136"/>
      <c r="O291" s="622"/>
      <c r="P291" s="624"/>
      <c r="Q291" s="353"/>
      <c r="R291" s="353"/>
      <c r="S291" s="130"/>
    </row>
    <row r="292" spans="1:19" s="133" customFormat="1" x14ac:dyDescent="0.25">
      <c r="A292" s="489"/>
      <c r="B292" s="489"/>
      <c r="D292" s="622"/>
      <c r="E292" s="622"/>
      <c r="F292" s="622"/>
      <c r="G292" s="136"/>
      <c r="H292" s="622"/>
      <c r="I292" s="622"/>
      <c r="J292" s="622"/>
      <c r="K292" s="622"/>
      <c r="L292" s="624"/>
      <c r="M292" s="622"/>
      <c r="N292" s="136"/>
      <c r="O292" s="622"/>
      <c r="P292" s="624"/>
      <c r="Q292" s="353"/>
      <c r="R292" s="353"/>
      <c r="S292" s="130"/>
    </row>
    <row r="293" spans="1:19" s="133" customFormat="1" x14ac:dyDescent="0.25">
      <c r="A293" s="489"/>
      <c r="B293" s="489"/>
      <c r="D293" s="622"/>
      <c r="E293" s="622"/>
      <c r="F293" s="622"/>
      <c r="G293" s="136"/>
      <c r="H293" s="622"/>
      <c r="I293" s="622"/>
      <c r="J293" s="622"/>
      <c r="K293" s="622"/>
      <c r="L293" s="624"/>
      <c r="M293" s="622"/>
      <c r="N293" s="136"/>
      <c r="O293" s="622"/>
      <c r="P293" s="624"/>
      <c r="Q293" s="353"/>
      <c r="R293" s="353"/>
      <c r="S293" s="130"/>
    </row>
    <row r="294" spans="1:19" s="133" customFormat="1" x14ac:dyDescent="0.25">
      <c r="A294" s="489"/>
      <c r="B294" s="489"/>
      <c r="D294" s="622"/>
      <c r="E294" s="622"/>
      <c r="F294" s="622"/>
      <c r="G294" s="136"/>
      <c r="H294" s="622"/>
      <c r="I294" s="622"/>
      <c r="J294" s="622"/>
      <c r="K294" s="622"/>
      <c r="L294" s="624"/>
      <c r="M294" s="622"/>
      <c r="N294" s="136"/>
      <c r="O294" s="622"/>
      <c r="P294" s="624"/>
      <c r="Q294" s="353"/>
      <c r="R294" s="353"/>
      <c r="S294" s="130"/>
    </row>
    <row r="295" spans="1:19" s="133" customFormat="1" x14ac:dyDescent="0.25">
      <c r="A295" s="489"/>
      <c r="B295" s="489"/>
      <c r="D295" s="622"/>
      <c r="E295" s="622"/>
      <c r="F295" s="622"/>
      <c r="G295" s="136"/>
      <c r="H295" s="622"/>
      <c r="I295" s="622"/>
      <c r="J295" s="622"/>
      <c r="K295" s="622"/>
      <c r="L295" s="624"/>
      <c r="M295" s="622"/>
      <c r="N295" s="136"/>
      <c r="O295" s="622"/>
      <c r="P295" s="624"/>
      <c r="Q295" s="353"/>
      <c r="R295" s="353"/>
      <c r="S295" s="130"/>
    </row>
    <row r="296" spans="1:19" s="133" customFormat="1" x14ac:dyDescent="0.25">
      <c r="A296" s="489"/>
      <c r="B296" s="489"/>
      <c r="D296" s="622"/>
      <c r="E296" s="622"/>
      <c r="F296" s="622"/>
      <c r="G296" s="136"/>
      <c r="H296" s="622"/>
      <c r="I296" s="622"/>
      <c r="J296" s="622"/>
      <c r="K296" s="622"/>
      <c r="L296" s="624"/>
      <c r="M296" s="622"/>
      <c r="N296" s="136"/>
      <c r="O296" s="622"/>
      <c r="P296" s="624"/>
      <c r="Q296" s="353"/>
      <c r="R296" s="353"/>
      <c r="S296" s="130"/>
    </row>
    <row r="297" spans="1:19" s="133" customFormat="1" x14ac:dyDescent="0.25">
      <c r="A297" s="489"/>
      <c r="B297" s="489"/>
      <c r="D297" s="622"/>
      <c r="E297" s="622"/>
      <c r="F297" s="622"/>
      <c r="G297" s="136"/>
      <c r="H297" s="622"/>
      <c r="I297" s="622"/>
      <c r="J297" s="622"/>
      <c r="K297" s="622"/>
      <c r="L297" s="624"/>
      <c r="M297" s="622"/>
      <c r="N297" s="136"/>
      <c r="O297" s="622"/>
      <c r="P297" s="624"/>
      <c r="Q297" s="353"/>
      <c r="R297" s="353"/>
      <c r="S297" s="130"/>
    </row>
    <row r="298" spans="1:19" s="133" customFormat="1" x14ac:dyDescent="0.25">
      <c r="A298" s="489"/>
      <c r="B298" s="489"/>
      <c r="D298" s="622"/>
      <c r="E298" s="622"/>
      <c r="F298" s="622"/>
      <c r="G298" s="136"/>
      <c r="H298" s="622"/>
      <c r="I298" s="622"/>
      <c r="J298" s="622"/>
      <c r="K298" s="622"/>
      <c r="L298" s="624"/>
      <c r="M298" s="622"/>
      <c r="N298" s="136"/>
      <c r="O298" s="622"/>
      <c r="P298" s="624"/>
      <c r="Q298" s="353"/>
      <c r="R298" s="353"/>
      <c r="S298" s="130"/>
    </row>
    <row r="299" spans="1:19" s="133" customFormat="1" x14ac:dyDescent="0.25">
      <c r="A299" s="489"/>
      <c r="B299" s="489"/>
      <c r="D299" s="622"/>
      <c r="E299" s="622"/>
      <c r="F299" s="622"/>
      <c r="G299" s="136"/>
      <c r="H299" s="622"/>
      <c r="I299" s="622"/>
      <c r="J299" s="622"/>
      <c r="K299" s="622"/>
      <c r="L299" s="624"/>
      <c r="M299" s="622"/>
      <c r="N299" s="136"/>
      <c r="O299" s="622"/>
      <c r="P299" s="624"/>
      <c r="Q299" s="353"/>
      <c r="R299" s="353"/>
      <c r="S299" s="130"/>
    </row>
    <row r="300" spans="1:19" s="133" customFormat="1" x14ac:dyDescent="0.25">
      <c r="A300" s="489"/>
      <c r="B300" s="489"/>
      <c r="D300" s="622"/>
      <c r="E300" s="622"/>
      <c r="F300" s="622"/>
      <c r="G300" s="136"/>
      <c r="H300" s="622"/>
      <c r="I300" s="622"/>
      <c r="J300" s="622"/>
      <c r="K300" s="622"/>
      <c r="L300" s="624"/>
      <c r="M300" s="622"/>
      <c r="N300" s="136"/>
      <c r="O300" s="622"/>
      <c r="P300" s="624"/>
      <c r="Q300" s="353"/>
      <c r="R300" s="353"/>
      <c r="S300" s="130"/>
    </row>
    <row r="301" spans="1:19" s="133" customFormat="1" x14ac:dyDescent="0.25">
      <c r="A301" s="489"/>
      <c r="B301" s="489"/>
      <c r="D301" s="622"/>
      <c r="E301" s="622"/>
      <c r="F301" s="622"/>
      <c r="G301" s="136"/>
      <c r="H301" s="622"/>
      <c r="I301" s="622"/>
      <c r="J301" s="622"/>
      <c r="K301" s="622"/>
      <c r="L301" s="624"/>
      <c r="M301" s="622"/>
      <c r="N301" s="136"/>
      <c r="O301" s="622"/>
      <c r="P301" s="624"/>
      <c r="Q301" s="353"/>
      <c r="R301" s="353"/>
      <c r="S301" s="130"/>
    </row>
    <row r="302" spans="1:19" s="133" customFormat="1" x14ac:dyDescent="0.25">
      <c r="A302" s="489"/>
      <c r="B302" s="489"/>
      <c r="D302" s="622"/>
      <c r="E302" s="622"/>
      <c r="F302" s="622"/>
      <c r="G302" s="136"/>
      <c r="H302" s="622"/>
      <c r="I302" s="622"/>
      <c r="J302" s="622"/>
      <c r="K302" s="622"/>
      <c r="L302" s="624"/>
      <c r="M302" s="622"/>
      <c r="N302" s="136"/>
      <c r="O302" s="622"/>
      <c r="P302" s="624"/>
      <c r="Q302" s="353"/>
      <c r="R302" s="353"/>
      <c r="S302" s="130"/>
    </row>
    <row r="303" spans="1:19" s="133" customFormat="1" x14ac:dyDescent="0.25">
      <c r="A303" s="489"/>
      <c r="B303" s="489"/>
      <c r="D303" s="622"/>
      <c r="E303" s="622"/>
      <c r="F303" s="622"/>
      <c r="G303" s="136"/>
      <c r="H303" s="622"/>
      <c r="I303" s="622"/>
      <c r="J303" s="622"/>
      <c r="K303" s="622"/>
      <c r="L303" s="624"/>
      <c r="M303" s="622"/>
      <c r="N303" s="136"/>
      <c r="O303" s="622"/>
      <c r="P303" s="624"/>
      <c r="Q303" s="353"/>
      <c r="R303" s="353"/>
      <c r="S303" s="130"/>
    </row>
    <row r="304" spans="1:19" s="133" customFormat="1" x14ac:dyDescent="0.25">
      <c r="A304" s="489"/>
      <c r="B304" s="489"/>
      <c r="D304" s="622"/>
      <c r="E304" s="622"/>
      <c r="F304" s="622"/>
      <c r="G304" s="136"/>
      <c r="H304" s="622"/>
      <c r="I304" s="622"/>
      <c r="J304" s="622"/>
      <c r="K304" s="622"/>
      <c r="L304" s="624"/>
      <c r="M304" s="622"/>
      <c r="N304" s="136"/>
      <c r="O304" s="622"/>
      <c r="P304" s="624"/>
      <c r="Q304" s="353"/>
      <c r="R304" s="353"/>
      <c r="S304" s="130"/>
    </row>
    <row r="305" spans="1:19" s="133" customFormat="1" x14ac:dyDescent="0.25">
      <c r="A305" s="489"/>
      <c r="B305" s="489"/>
      <c r="D305" s="622"/>
      <c r="E305" s="622"/>
      <c r="F305" s="622"/>
      <c r="G305" s="136"/>
      <c r="H305" s="622"/>
      <c r="I305" s="622"/>
      <c r="J305" s="622"/>
      <c r="K305" s="622"/>
      <c r="L305" s="624"/>
      <c r="M305" s="622"/>
      <c r="N305" s="136"/>
      <c r="O305" s="622"/>
      <c r="P305" s="624"/>
      <c r="Q305" s="353"/>
      <c r="R305" s="353"/>
      <c r="S305" s="130"/>
    </row>
    <row r="306" spans="1:19" s="133" customFormat="1" x14ac:dyDescent="0.25">
      <c r="A306" s="489"/>
      <c r="B306" s="489"/>
      <c r="D306" s="622"/>
      <c r="E306" s="622"/>
      <c r="F306" s="622"/>
      <c r="G306" s="136"/>
      <c r="H306" s="622"/>
      <c r="I306" s="622"/>
      <c r="J306" s="622"/>
      <c r="K306" s="622"/>
      <c r="L306" s="624"/>
      <c r="M306" s="622"/>
      <c r="N306" s="136"/>
      <c r="O306" s="622"/>
      <c r="P306" s="624"/>
      <c r="Q306" s="353"/>
      <c r="R306" s="353"/>
      <c r="S306" s="130"/>
    </row>
    <row r="307" spans="1:19" s="133" customFormat="1" x14ac:dyDescent="0.25">
      <c r="A307" s="489"/>
      <c r="B307" s="489"/>
      <c r="D307" s="622"/>
      <c r="E307" s="622"/>
      <c r="F307" s="622"/>
      <c r="G307" s="136"/>
      <c r="H307" s="622"/>
      <c r="I307" s="622"/>
      <c r="J307" s="622"/>
      <c r="K307" s="622"/>
      <c r="L307" s="624"/>
      <c r="M307" s="622"/>
      <c r="N307" s="136"/>
      <c r="O307" s="622"/>
      <c r="P307" s="624"/>
      <c r="Q307" s="353"/>
      <c r="R307" s="353"/>
      <c r="S307" s="130"/>
    </row>
    <row r="308" spans="1:19" s="133" customFormat="1" x14ac:dyDescent="0.25">
      <c r="A308" s="489"/>
      <c r="B308" s="489"/>
      <c r="D308" s="622"/>
      <c r="E308" s="622"/>
      <c r="F308" s="622"/>
      <c r="G308" s="136"/>
      <c r="H308" s="622"/>
      <c r="I308" s="622"/>
      <c r="J308" s="622"/>
      <c r="K308" s="622"/>
      <c r="L308" s="624"/>
      <c r="M308" s="622"/>
      <c r="N308" s="136"/>
      <c r="O308" s="622"/>
      <c r="P308" s="624"/>
      <c r="Q308" s="353"/>
      <c r="R308" s="353"/>
      <c r="S308" s="130"/>
    </row>
    <row r="309" spans="1:19" s="133" customFormat="1" x14ac:dyDescent="0.25">
      <c r="A309" s="489"/>
      <c r="B309" s="489"/>
      <c r="D309" s="622"/>
      <c r="E309" s="622"/>
      <c r="F309" s="622"/>
      <c r="G309" s="136"/>
      <c r="H309" s="622"/>
      <c r="I309" s="622"/>
      <c r="J309" s="622"/>
      <c r="K309" s="622"/>
      <c r="L309" s="624"/>
      <c r="M309" s="622"/>
      <c r="N309" s="136"/>
      <c r="O309" s="622"/>
      <c r="P309" s="624"/>
      <c r="Q309" s="353"/>
      <c r="R309" s="353"/>
      <c r="S309" s="130"/>
    </row>
    <row r="310" spans="1:19" s="133" customFormat="1" x14ac:dyDescent="0.25">
      <c r="A310" s="489"/>
      <c r="B310" s="489"/>
      <c r="D310" s="622"/>
      <c r="E310" s="622"/>
      <c r="F310" s="622"/>
      <c r="G310" s="136"/>
      <c r="H310" s="622"/>
      <c r="I310" s="622"/>
      <c r="J310" s="622"/>
      <c r="K310" s="622"/>
      <c r="L310" s="624"/>
      <c r="M310" s="622"/>
      <c r="N310" s="136"/>
      <c r="O310" s="622"/>
      <c r="P310" s="624"/>
      <c r="Q310" s="353"/>
      <c r="R310" s="353"/>
      <c r="S310" s="130"/>
    </row>
    <row r="311" spans="1:19" s="133" customFormat="1" x14ac:dyDescent="0.25">
      <c r="A311" s="489"/>
      <c r="B311" s="489"/>
      <c r="D311" s="622"/>
      <c r="E311" s="622"/>
      <c r="F311" s="622"/>
      <c r="G311" s="136"/>
      <c r="H311" s="622"/>
      <c r="I311" s="622"/>
      <c r="J311" s="622"/>
      <c r="K311" s="622"/>
      <c r="L311" s="624"/>
      <c r="M311" s="622"/>
      <c r="N311" s="136"/>
      <c r="O311" s="622"/>
      <c r="P311" s="624"/>
      <c r="Q311" s="353"/>
      <c r="R311" s="353"/>
      <c r="S311" s="130"/>
    </row>
    <row r="312" spans="1:19" s="133" customFormat="1" x14ac:dyDescent="0.25">
      <c r="A312" s="489"/>
      <c r="B312" s="489"/>
      <c r="D312" s="622"/>
      <c r="E312" s="622"/>
      <c r="F312" s="622"/>
      <c r="G312" s="136"/>
      <c r="H312" s="622"/>
      <c r="I312" s="622"/>
      <c r="J312" s="622"/>
      <c r="K312" s="622"/>
      <c r="L312" s="624"/>
      <c r="M312" s="622"/>
      <c r="N312" s="136"/>
      <c r="O312" s="622"/>
      <c r="P312" s="624"/>
      <c r="Q312" s="353"/>
      <c r="R312" s="353"/>
      <c r="S312" s="130"/>
    </row>
    <row r="313" spans="1:19" s="133" customFormat="1" x14ac:dyDescent="0.25">
      <c r="A313" s="489"/>
      <c r="B313" s="489"/>
      <c r="D313" s="622"/>
      <c r="E313" s="622"/>
      <c r="F313" s="622"/>
      <c r="G313" s="136"/>
      <c r="H313" s="622"/>
      <c r="I313" s="622"/>
      <c r="J313" s="622"/>
      <c r="K313" s="622"/>
      <c r="L313" s="624"/>
      <c r="M313" s="622"/>
      <c r="N313" s="136"/>
      <c r="O313" s="622"/>
      <c r="P313" s="624"/>
      <c r="Q313" s="353"/>
      <c r="R313" s="353"/>
      <c r="S313" s="130"/>
    </row>
    <row r="314" spans="1:19" s="133" customFormat="1" x14ac:dyDescent="0.25">
      <c r="A314" s="489"/>
      <c r="B314" s="489"/>
      <c r="D314" s="622"/>
      <c r="E314" s="622"/>
      <c r="F314" s="622"/>
      <c r="G314" s="136"/>
      <c r="H314" s="622"/>
      <c r="I314" s="622"/>
      <c r="J314" s="622"/>
      <c r="K314" s="622"/>
      <c r="L314" s="624"/>
      <c r="M314" s="622"/>
      <c r="N314" s="136"/>
      <c r="O314" s="622"/>
      <c r="P314" s="624"/>
      <c r="Q314" s="353"/>
      <c r="R314" s="353"/>
      <c r="S314" s="130"/>
    </row>
    <row r="315" spans="1:19" s="133" customFormat="1" x14ac:dyDescent="0.25">
      <c r="A315" s="489"/>
      <c r="B315" s="489"/>
      <c r="D315" s="622"/>
      <c r="E315" s="622"/>
      <c r="F315" s="622"/>
      <c r="G315" s="136"/>
      <c r="H315" s="622"/>
      <c r="I315" s="622"/>
      <c r="J315" s="622"/>
      <c r="K315" s="622"/>
      <c r="L315" s="624"/>
      <c r="M315" s="622"/>
      <c r="N315" s="136"/>
      <c r="O315" s="622"/>
      <c r="P315" s="624"/>
      <c r="Q315" s="353"/>
      <c r="R315" s="353"/>
      <c r="S315" s="130"/>
    </row>
    <row r="316" spans="1:19" s="133" customFormat="1" x14ac:dyDescent="0.25">
      <c r="A316" s="489"/>
      <c r="B316" s="489"/>
      <c r="D316" s="622"/>
      <c r="E316" s="622"/>
      <c r="F316" s="622"/>
      <c r="G316" s="136"/>
      <c r="H316" s="622"/>
      <c r="I316" s="622"/>
      <c r="J316" s="622"/>
      <c r="K316" s="622"/>
      <c r="L316" s="624"/>
      <c r="M316" s="622"/>
      <c r="N316" s="136"/>
      <c r="O316" s="622"/>
      <c r="P316" s="624"/>
      <c r="Q316" s="353"/>
      <c r="R316" s="353"/>
      <c r="S316" s="130"/>
    </row>
    <row r="317" spans="1:19" s="133" customFormat="1" x14ac:dyDescent="0.25">
      <c r="A317" s="489"/>
      <c r="B317" s="489"/>
      <c r="D317" s="622"/>
      <c r="E317" s="622"/>
      <c r="F317" s="622"/>
      <c r="G317" s="136"/>
      <c r="H317" s="622"/>
      <c r="I317" s="622"/>
      <c r="J317" s="622"/>
      <c r="K317" s="622"/>
      <c r="L317" s="624"/>
      <c r="M317" s="622"/>
      <c r="N317" s="136"/>
      <c r="O317" s="622"/>
      <c r="P317" s="624"/>
      <c r="Q317" s="353"/>
      <c r="R317" s="353"/>
      <c r="S317" s="130"/>
    </row>
    <row r="318" spans="1:19" s="133" customFormat="1" x14ac:dyDescent="0.25">
      <c r="A318" s="489"/>
      <c r="B318" s="489"/>
      <c r="D318" s="622"/>
      <c r="E318" s="622"/>
      <c r="F318" s="622"/>
      <c r="G318" s="136"/>
      <c r="H318" s="622"/>
      <c r="I318" s="622"/>
      <c r="J318" s="622"/>
      <c r="K318" s="622"/>
      <c r="L318" s="624"/>
      <c r="M318" s="622"/>
      <c r="N318" s="136"/>
      <c r="O318" s="622"/>
      <c r="P318" s="624"/>
      <c r="Q318" s="353"/>
      <c r="R318" s="353"/>
      <c r="S318" s="130"/>
    </row>
    <row r="319" spans="1:19" s="133" customFormat="1" x14ac:dyDescent="0.25">
      <c r="A319" s="489"/>
      <c r="B319" s="489"/>
      <c r="D319" s="622"/>
      <c r="E319" s="622"/>
      <c r="F319" s="622"/>
      <c r="G319" s="136"/>
      <c r="H319" s="622"/>
      <c r="I319" s="622"/>
      <c r="J319" s="622"/>
      <c r="K319" s="622"/>
      <c r="L319" s="624"/>
      <c r="M319" s="622"/>
      <c r="N319" s="136"/>
      <c r="O319" s="622"/>
      <c r="P319" s="624"/>
      <c r="Q319" s="353"/>
      <c r="R319" s="353"/>
      <c r="S319" s="130"/>
    </row>
    <row r="320" spans="1:19" s="133" customFormat="1" x14ac:dyDescent="0.25">
      <c r="A320" s="489"/>
      <c r="B320" s="489"/>
      <c r="D320" s="622"/>
      <c r="E320" s="622"/>
      <c r="F320" s="622"/>
      <c r="G320" s="136"/>
      <c r="H320" s="622"/>
      <c r="I320" s="622"/>
      <c r="J320" s="622"/>
      <c r="K320" s="622"/>
      <c r="L320" s="624"/>
      <c r="M320" s="622"/>
      <c r="N320" s="136"/>
      <c r="O320" s="622"/>
      <c r="P320" s="624"/>
      <c r="Q320" s="353"/>
      <c r="R320" s="353"/>
      <c r="S320" s="130"/>
    </row>
    <row r="321" spans="1:19" s="133" customFormat="1" x14ac:dyDescent="0.25">
      <c r="A321" s="489"/>
      <c r="B321" s="489"/>
      <c r="D321" s="622"/>
      <c r="E321" s="622"/>
      <c r="F321" s="622"/>
      <c r="G321" s="136"/>
      <c r="H321" s="622"/>
      <c r="I321" s="622"/>
      <c r="J321" s="622"/>
      <c r="K321" s="622"/>
      <c r="L321" s="624"/>
      <c r="M321" s="622"/>
      <c r="N321" s="136"/>
      <c r="O321" s="622"/>
      <c r="P321" s="624"/>
      <c r="Q321" s="353"/>
      <c r="R321" s="353"/>
      <c r="S321" s="130"/>
    </row>
    <row r="322" spans="1:19" s="133" customFormat="1" x14ac:dyDescent="0.25">
      <c r="A322" s="489"/>
      <c r="B322" s="489"/>
      <c r="D322" s="622"/>
      <c r="E322" s="622"/>
      <c r="F322" s="622"/>
      <c r="G322" s="136"/>
      <c r="H322" s="622"/>
      <c r="I322" s="622"/>
      <c r="J322" s="622"/>
      <c r="K322" s="622"/>
      <c r="L322" s="624"/>
      <c r="M322" s="622"/>
      <c r="N322" s="136"/>
      <c r="O322" s="622"/>
      <c r="P322" s="624"/>
      <c r="Q322" s="353"/>
      <c r="R322" s="353"/>
      <c r="S322" s="130"/>
    </row>
    <row r="323" spans="1:19" s="133" customFormat="1" x14ac:dyDescent="0.25">
      <c r="A323" s="489"/>
      <c r="B323" s="489"/>
      <c r="D323" s="622"/>
      <c r="E323" s="622"/>
      <c r="F323" s="622"/>
      <c r="G323" s="136"/>
      <c r="H323" s="622"/>
      <c r="I323" s="622"/>
      <c r="J323" s="622"/>
      <c r="K323" s="622"/>
      <c r="L323" s="624"/>
      <c r="M323" s="622"/>
      <c r="N323" s="136"/>
      <c r="O323" s="622"/>
      <c r="P323" s="624"/>
      <c r="Q323" s="353"/>
      <c r="R323" s="353"/>
      <c r="S323" s="130"/>
    </row>
    <row r="324" spans="1:19" s="133" customFormat="1" x14ac:dyDescent="0.25">
      <c r="A324" s="489"/>
      <c r="B324" s="489"/>
      <c r="D324" s="622"/>
      <c r="E324" s="622"/>
      <c r="F324" s="622"/>
      <c r="G324" s="136"/>
      <c r="H324" s="622"/>
      <c r="I324" s="622"/>
      <c r="J324" s="622"/>
      <c r="K324" s="622"/>
      <c r="L324" s="624"/>
      <c r="M324" s="622"/>
      <c r="N324" s="136"/>
      <c r="O324" s="622"/>
      <c r="P324" s="624"/>
      <c r="Q324" s="353"/>
      <c r="R324" s="353"/>
      <c r="S324" s="130"/>
    </row>
    <row r="325" spans="1:19" s="133" customFormat="1" x14ac:dyDescent="0.25">
      <c r="A325" s="489"/>
      <c r="B325" s="489"/>
      <c r="D325" s="622"/>
      <c r="E325" s="622"/>
      <c r="F325" s="622"/>
      <c r="G325" s="136"/>
      <c r="H325" s="622"/>
      <c r="I325" s="622"/>
      <c r="J325" s="622"/>
      <c r="K325" s="622"/>
      <c r="L325" s="624"/>
      <c r="M325" s="622"/>
      <c r="N325" s="136"/>
      <c r="O325" s="622"/>
      <c r="P325" s="624"/>
      <c r="Q325" s="353"/>
      <c r="R325" s="353"/>
      <c r="S325" s="130"/>
    </row>
    <row r="326" spans="1:19" s="133" customFormat="1" x14ac:dyDescent="0.25">
      <c r="A326" s="489"/>
      <c r="B326" s="489"/>
      <c r="D326" s="622"/>
      <c r="E326" s="622"/>
      <c r="F326" s="622"/>
      <c r="G326" s="136"/>
      <c r="H326" s="622"/>
      <c r="I326" s="622"/>
      <c r="J326" s="622"/>
      <c r="K326" s="622"/>
      <c r="L326" s="624"/>
      <c r="M326" s="622"/>
      <c r="N326" s="136"/>
      <c r="O326" s="622"/>
      <c r="P326" s="624"/>
      <c r="Q326" s="353"/>
      <c r="R326" s="353"/>
      <c r="S326" s="130"/>
    </row>
    <row r="327" spans="1:19" s="133" customFormat="1" x14ac:dyDescent="0.25">
      <c r="A327" s="489"/>
      <c r="B327" s="489"/>
      <c r="D327" s="622"/>
      <c r="E327" s="622"/>
      <c r="F327" s="622"/>
      <c r="G327" s="136"/>
      <c r="H327" s="622"/>
      <c r="I327" s="622"/>
      <c r="J327" s="622"/>
      <c r="K327" s="622"/>
      <c r="L327" s="624"/>
      <c r="M327" s="622"/>
      <c r="N327" s="136"/>
      <c r="O327" s="622"/>
      <c r="P327" s="624"/>
      <c r="Q327" s="353"/>
      <c r="R327" s="353"/>
      <c r="S327" s="130"/>
    </row>
    <row r="328" spans="1:19" s="133" customFormat="1" x14ac:dyDescent="0.25">
      <c r="A328" s="489"/>
      <c r="B328" s="489"/>
      <c r="D328" s="622"/>
      <c r="E328" s="622"/>
      <c r="F328" s="622"/>
      <c r="G328" s="136"/>
      <c r="H328" s="622"/>
      <c r="I328" s="622"/>
      <c r="J328" s="622"/>
      <c r="K328" s="622"/>
      <c r="L328" s="624"/>
      <c r="M328" s="622"/>
      <c r="N328" s="136"/>
      <c r="O328" s="622"/>
      <c r="P328" s="624"/>
      <c r="Q328" s="353"/>
      <c r="R328" s="353"/>
      <c r="S328" s="130"/>
    </row>
    <row r="329" spans="1:19" s="133" customFormat="1" x14ac:dyDescent="0.25">
      <c r="A329" s="489"/>
      <c r="B329" s="489"/>
      <c r="D329" s="622"/>
      <c r="E329" s="622"/>
      <c r="F329" s="622"/>
      <c r="G329" s="136"/>
      <c r="H329" s="622"/>
      <c r="I329" s="622"/>
      <c r="J329" s="622"/>
      <c r="K329" s="622"/>
      <c r="L329" s="624"/>
      <c r="M329" s="622"/>
      <c r="N329" s="136"/>
      <c r="O329" s="622"/>
      <c r="P329" s="624"/>
      <c r="Q329" s="353"/>
      <c r="R329" s="353"/>
      <c r="S329" s="130"/>
    </row>
    <row r="330" spans="1:19" s="133" customFormat="1" x14ac:dyDescent="0.25">
      <c r="A330" s="489"/>
      <c r="B330" s="489"/>
      <c r="D330" s="622"/>
      <c r="E330" s="622"/>
      <c r="F330" s="622"/>
      <c r="G330" s="136"/>
      <c r="H330" s="622"/>
      <c r="I330" s="622"/>
      <c r="J330" s="622"/>
      <c r="K330" s="622"/>
      <c r="L330" s="624"/>
      <c r="M330" s="622"/>
      <c r="N330" s="136"/>
      <c r="O330" s="622"/>
      <c r="P330" s="624"/>
      <c r="Q330" s="353"/>
      <c r="R330" s="353"/>
      <c r="S330" s="130"/>
    </row>
    <row r="331" spans="1:19" s="133" customFormat="1" x14ac:dyDescent="0.25">
      <c r="A331" s="489"/>
      <c r="B331" s="489"/>
      <c r="D331" s="622"/>
      <c r="E331" s="622"/>
      <c r="F331" s="622"/>
      <c r="G331" s="136"/>
      <c r="H331" s="622"/>
      <c r="I331" s="622"/>
      <c r="J331" s="622"/>
      <c r="K331" s="622"/>
      <c r="L331" s="624"/>
      <c r="M331" s="622"/>
      <c r="N331" s="136"/>
      <c r="O331" s="622"/>
      <c r="P331" s="624"/>
      <c r="Q331" s="353"/>
      <c r="R331" s="353"/>
      <c r="S331" s="130"/>
    </row>
    <row r="332" spans="1:19" s="133" customFormat="1" x14ac:dyDescent="0.25">
      <c r="A332" s="489"/>
      <c r="B332" s="489"/>
      <c r="D332" s="622"/>
      <c r="E332" s="622"/>
      <c r="F332" s="622"/>
      <c r="G332" s="136"/>
      <c r="H332" s="622"/>
      <c r="I332" s="622"/>
      <c r="J332" s="622"/>
      <c r="K332" s="622"/>
      <c r="L332" s="624"/>
      <c r="M332" s="622"/>
      <c r="N332" s="136"/>
      <c r="O332" s="622"/>
      <c r="P332" s="624"/>
      <c r="Q332" s="353"/>
      <c r="R332" s="353"/>
      <c r="S332" s="130"/>
    </row>
    <row r="333" spans="1:19" s="133" customFormat="1" x14ac:dyDescent="0.25">
      <c r="A333" s="489"/>
      <c r="B333" s="489"/>
      <c r="D333" s="622"/>
      <c r="E333" s="622"/>
      <c r="F333" s="622"/>
      <c r="G333" s="136"/>
      <c r="H333" s="622"/>
      <c r="I333" s="622"/>
      <c r="J333" s="622"/>
      <c r="K333" s="622"/>
      <c r="L333" s="624"/>
      <c r="M333" s="622"/>
      <c r="N333" s="136"/>
      <c r="O333" s="622"/>
      <c r="P333" s="624"/>
      <c r="Q333" s="353"/>
      <c r="R333" s="353"/>
      <c r="S333" s="130"/>
    </row>
    <row r="334" spans="1:19" s="133" customFormat="1" x14ac:dyDescent="0.25">
      <c r="A334" s="489"/>
      <c r="B334" s="489"/>
      <c r="D334" s="622"/>
      <c r="E334" s="622"/>
      <c r="F334" s="622"/>
      <c r="G334" s="136"/>
      <c r="H334" s="622"/>
      <c r="I334" s="622"/>
      <c r="J334" s="622"/>
      <c r="K334" s="622"/>
      <c r="L334" s="624"/>
      <c r="M334" s="622"/>
      <c r="N334" s="136"/>
      <c r="O334" s="622"/>
      <c r="P334" s="624"/>
      <c r="Q334" s="353"/>
      <c r="R334" s="353"/>
      <c r="S334" s="130"/>
    </row>
    <row r="335" spans="1:19" s="133" customFormat="1" x14ac:dyDescent="0.25">
      <c r="A335" s="489"/>
      <c r="B335" s="489"/>
      <c r="D335" s="622"/>
      <c r="E335" s="622"/>
      <c r="F335" s="622"/>
      <c r="G335" s="136"/>
      <c r="H335" s="622"/>
      <c r="I335" s="622"/>
      <c r="J335" s="622"/>
      <c r="K335" s="622"/>
      <c r="L335" s="624"/>
      <c r="M335" s="622"/>
      <c r="N335" s="136"/>
      <c r="O335" s="622"/>
      <c r="P335" s="624"/>
      <c r="Q335" s="353"/>
      <c r="R335" s="353"/>
      <c r="S335" s="130"/>
    </row>
    <row r="336" spans="1:19" s="133" customFormat="1" x14ac:dyDescent="0.25">
      <c r="A336" s="489"/>
      <c r="B336" s="489"/>
      <c r="D336" s="622"/>
      <c r="E336" s="622"/>
      <c r="F336" s="622"/>
      <c r="G336" s="136"/>
      <c r="H336" s="622"/>
      <c r="I336" s="622"/>
      <c r="J336" s="622"/>
      <c r="K336" s="622"/>
      <c r="L336" s="624"/>
      <c r="M336" s="622"/>
      <c r="N336" s="136"/>
      <c r="O336" s="622"/>
      <c r="P336" s="624"/>
      <c r="Q336" s="353"/>
      <c r="R336" s="353"/>
      <c r="S336" s="130"/>
    </row>
    <row r="337" spans="1:19" s="133" customFormat="1" x14ac:dyDescent="0.25">
      <c r="A337" s="489"/>
      <c r="B337" s="489"/>
      <c r="D337" s="622"/>
      <c r="E337" s="622"/>
      <c r="F337" s="622"/>
      <c r="G337" s="136"/>
      <c r="H337" s="622"/>
      <c r="I337" s="622"/>
      <c r="J337" s="622"/>
      <c r="K337" s="622"/>
      <c r="L337" s="624"/>
      <c r="M337" s="622"/>
      <c r="N337" s="136"/>
      <c r="O337" s="622"/>
      <c r="P337" s="624"/>
      <c r="Q337" s="353"/>
      <c r="R337" s="353"/>
      <c r="S337" s="130"/>
    </row>
    <row r="338" spans="1:19" s="133" customFormat="1" x14ac:dyDescent="0.25">
      <c r="A338" s="489"/>
      <c r="B338" s="489"/>
      <c r="D338" s="622"/>
      <c r="E338" s="622"/>
      <c r="F338" s="622"/>
      <c r="G338" s="136"/>
      <c r="H338" s="622"/>
      <c r="I338" s="622"/>
      <c r="J338" s="622"/>
      <c r="K338" s="622"/>
      <c r="L338" s="624"/>
      <c r="M338" s="622"/>
      <c r="N338" s="136"/>
      <c r="O338" s="622"/>
      <c r="P338" s="624"/>
      <c r="Q338" s="353"/>
      <c r="R338" s="353"/>
      <c r="S338" s="130"/>
    </row>
    <row r="339" spans="1:19" s="133" customFormat="1" x14ac:dyDescent="0.25">
      <c r="A339" s="489"/>
      <c r="B339" s="489"/>
      <c r="D339" s="622"/>
      <c r="E339" s="622"/>
      <c r="F339" s="622"/>
      <c r="G339" s="136"/>
      <c r="H339" s="622"/>
      <c r="I339" s="622"/>
      <c r="J339" s="622"/>
      <c r="K339" s="622"/>
      <c r="L339" s="624"/>
      <c r="M339" s="622"/>
      <c r="N339" s="136"/>
      <c r="O339" s="622"/>
      <c r="P339" s="624"/>
      <c r="Q339" s="353"/>
      <c r="R339" s="353"/>
      <c r="S339" s="130"/>
    </row>
    <row r="340" spans="1:19" s="133" customFormat="1" x14ac:dyDescent="0.25">
      <c r="A340" s="489"/>
      <c r="B340" s="489"/>
      <c r="D340" s="622"/>
      <c r="E340" s="622"/>
      <c r="F340" s="622"/>
      <c r="G340" s="136"/>
      <c r="H340" s="622"/>
      <c r="I340" s="622"/>
      <c r="J340" s="622"/>
      <c r="K340" s="622"/>
      <c r="L340" s="624"/>
      <c r="M340" s="622"/>
      <c r="N340" s="136"/>
      <c r="O340" s="622"/>
      <c r="P340" s="624"/>
      <c r="Q340" s="353"/>
      <c r="R340" s="353"/>
      <c r="S340" s="130"/>
    </row>
    <row r="341" spans="1:19" s="133" customFormat="1" x14ac:dyDescent="0.25">
      <c r="A341" s="489"/>
      <c r="B341" s="489"/>
      <c r="D341" s="622"/>
      <c r="E341" s="622"/>
      <c r="F341" s="622"/>
      <c r="G341" s="136"/>
      <c r="H341" s="622"/>
      <c r="I341" s="622"/>
      <c r="J341" s="622"/>
      <c r="K341" s="622"/>
      <c r="L341" s="624"/>
      <c r="M341" s="622"/>
      <c r="N341" s="136"/>
      <c r="O341" s="622"/>
      <c r="P341" s="624"/>
      <c r="Q341" s="353"/>
      <c r="R341" s="353"/>
      <c r="S341" s="130"/>
    </row>
    <row r="342" spans="1:19" s="133" customFormat="1" x14ac:dyDescent="0.25">
      <c r="A342" s="489"/>
      <c r="B342" s="489"/>
      <c r="D342" s="622"/>
      <c r="E342" s="622"/>
      <c r="F342" s="622"/>
      <c r="G342" s="136"/>
      <c r="H342" s="622"/>
      <c r="I342" s="622"/>
      <c r="J342" s="622"/>
      <c r="K342" s="622"/>
      <c r="L342" s="624"/>
      <c r="M342" s="622"/>
      <c r="N342" s="136"/>
      <c r="O342" s="622"/>
      <c r="P342" s="624"/>
      <c r="Q342" s="353"/>
      <c r="R342" s="353"/>
      <c r="S342" s="130"/>
    </row>
    <row r="343" spans="1:19" s="133" customFormat="1" x14ac:dyDescent="0.25">
      <c r="A343" s="489"/>
      <c r="B343" s="489"/>
      <c r="D343" s="622"/>
      <c r="E343" s="622"/>
      <c r="F343" s="622"/>
      <c r="G343" s="136"/>
      <c r="H343" s="622"/>
      <c r="I343" s="622"/>
      <c r="J343" s="622"/>
      <c r="K343" s="622"/>
      <c r="L343" s="624"/>
      <c r="M343" s="622"/>
      <c r="N343" s="136"/>
      <c r="O343" s="622"/>
      <c r="P343" s="624"/>
      <c r="Q343" s="353"/>
      <c r="R343" s="353"/>
      <c r="S343" s="130"/>
    </row>
    <row r="344" spans="1:19" s="133" customFormat="1" x14ac:dyDescent="0.25">
      <c r="A344" s="489"/>
      <c r="B344" s="489"/>
      <c r="D344" s="622"/>
      <c r="E344" s="622"/>
      <c r="F344" s="622"/>
      <c r="G344" s="136"/>
      <c r="H344" s="622"/>
      <c r="I344" s="622"/>
      <c r="J344" s="622"/>
      <c r="K344" s="622"/>
      <c r="L344" s="624"/>
      <c r="M344" s="622"/>
      <c r="N344" s="136"/>
      <c r="O344" s="622"/>
      <c r="P344" s="624"/>
      <c r="Q344" s="353"/>
      <c r="R344" s="353"/>
      <c r="S344" s="130"/>
    </row>
    <row r="345" spans="1:19" s="133" customFormat="1" x14ac:dyDescent="0.25">
      <c r="A345" s="489"/>
      <c r="B345" s="489"/>
      <c r="D345" s="622"/>
      <c r="E345" s="622"/>
      <c r="F345" s="622"/>
      <c r="G345" s="136"/>
      <c r="H345" s="622"/>
      <c r="I345" s="622"/>
      <c r="J345" s="622"/>
      <c r="K345" s="622"/>
      <c r="L345" s="624"/>
      <c r="M345" s="622"/>
      <c r="N345" s="136"/>
      <c r="O345" s="622"/>
      <c r="P345" s="624"/>
      <c r="Q345" s="353"/>
      <c r="R345" s="353"/>
      <c r="S345" s="130"/>
    </row>
    <row r="346" spans="1:19" s="133" customFormat="1" x14ac:dyDescent="0.25">
      <c r="A346" s="489"/>
      <c r="B346" s="489"/>
      <c r="D346" s="622"/>
      <c r="E346" s="622"/>
      <c r="F346" s="622"/>
      <c r="G346" s="136"/>
      <c r="H346" s="622"/>
      <c r="I346" s="622"/>
      <c r="J346" s="622"/>
      <c r="K346" s="622"/>
      <c r="L346" s="624"/>
      <c r="M346" s="622"/>
      <c r="N346" s="136"/>
      <c r="O346" s="622"/>
      <c r="P346" s="624"/>
      <c r="Q346" s="353"/>
      <c r="R346" s="353"/>
      <c r="S346" s="130"/>
    </row>
    <row r="347" spans="1:19" s="133" customFormat="1" x14ac:dyDescent="0.25">
      <c r="A347" s="489"/>
      <c r="B347" s="489"/>
      <c r="D347" s="622"/>
      <c r="E347" s="622"/>
      <c r="F347" s="622"/>
      <c r="G347" s="136"/>
      <c r="H347" s="622"/>
      <c r="I347" s="622"/>
      <c r="J347" s="622"/>
      <c r="K347" s="622"/>
      <c r="L347" s="624"/>
      <c r="M347" s="622"/>
      <c r="N347" s="136"/>
      <c r="O347" s="622"/>
      <c r="P347" s="624"/>
      <c r="Q347" s="353"/>
      <c r="R347" s="353"/>
      <c r="S347" s="130"/>
    </row>
    <row r="348" spans="1:19" s="133" customFormat="1" x14ac:dyDescent="0.25">
      <c r="A348" s="489"/>
      <c r="B348" s="489"/>
      <c r="D348" s="622"/>
      <c r="E348" s="622"/>
      <c r="F348" s="622"/>
      <c r="G348" s="136"/>
      <c r="H348" s="622"/>
      <c r="I348" s="622"/>
      <c r="J348" s="622"/>
      <c r="K348" s="622"/>
      <c r="L348" s="624"/>
      <c r="M348" s="622"/>
      <c r="N348" s="136"/>
      <c r="O348" s="622"/>
      <c r="P348" s="624"/>
      <c r="Q348" s="353"/>
      <c r="R348" s="353"/>
      <c r="S348" s="130"/>
    </row>
    <row r="349" spans="1:19" s="133" customFormat="1" x14ac:dyDescent="0.25">
      <c r="A349" s="489"/>
      <c r="B349" s="489"/>
      <c r="D349" s="622"/>
      <c r="E349" s="622"/>
      <c r="F349" s="622"/>
      <c r="G349" s="136"/>
      <c r="H349" s="622"/>
      <c r="I349" s="622"/>
      <c r="J349" s="622"/>
      <c r="K349" s="622"/>
      <c r="L349" s="624"/>
      <c r="M349" s="622"/>
      <c r="N349" s="136"/>
      <c r="O349" s="622"/>
      <c r="P349" s="624"/>
      <c r="Q349" s="353"/>
      <c r="R349" s="353"/>
      <c r="S349" s="130"/>
    </row>
    <row r="350" spans="1:19" s="133" customFormat="1" x14ac:dyDescent="0.25">
      <c r="A350" s="489"/>
      <c r="B350" s="489"/>
      <c r="D350" s="622"/>
      <c r="E350" s="622"/>
      <c r="F350" s="622"/>
      <c r="G350" s="136"/>
      <c r="H350" s="622"/>
      <c r="I350" s="622"/>
      <c r="J350" s="622"/>
      <c r="K350" s="622"/>
      <c r="L350" s="624"/>
      <c r="M350" s="622"/>
      <c r="N350" s="136"/>
      <c r="O350" s="622"/>
      <c r="P350" s="624"/>
      <c r="Q350" s="353"/>
      <c r="R350" s="353"/>
      <c r="S350" s="130"/>
    </row>
    <row r="351" spans="1:19" s="133" customFormat="1" x14ac:dyDescent="0.25">
      <c r="A351" s="489"/>
      <c r="B351" s="489"/>
      <c r="D351" s="622"/>
      <c r="E351" s="622"/>
      <c r="F351" s="622"/>
      <c r="G351" s="136"/>
      <c r="H351" s="622"/>
      <c r="I351" s="622"/>
      <c r="J351" s="622"/>
      <c r="K351" s="622"/>
      <c r="L351" s="624"/>
      <c r="M351" s="622"/>
      <c r="N351" s="136"/>
      <c r="O351" s="622"/>
      <c r="P351" s="624"/>
      <c r="Q351" s="353"/>
      <c r="R351" s="353"/>
      <c r="S351" s="130"/>
    </row>
    <row r="352" spans="1:19" s="133" customFormat="1" x14ac:dyDescent="0.25">
      <c r="A352" s="489"/>
      <c r="B352" s="489"/>
      <c r="D352" s="622"/>
      <c r="E352" s="622"/>
      <c r="F352" s="622"/>
      <c r="G352" s="136"/>
      <c r="H352" s="622"/>
      <c r="I352" s="622"/>
      <c r="J352" s="622"/>
      <c r="K352" s="622"/>
      <c r="L352" s="624"/>
      <c r="M352" s="622"/>
      <c r="N352" s="136"/>
      <c r="O352" s="622"/>
      <c r="P352" s="624"/>
      <c r="Q352" s="353"/>
      <c r="R352" s="353"/>
      <c r="S352" s="130"/>
    </row>
    <row r="353" spans="1:19" s="133" customFormat="1" x14ac:dyDescent="0.25">
      <c r="A353" s="489"/>
      <c r="B353" s="489"/>
      <c r="D353" s="622"/>
      <c r="E353" s="622"/>
      <c r="F353" s="622"/>
      <c r="G353" s="136"/>
      <c r="H353" s="622"/>
      <c r="I353" s="622"/>
      <c r="J353" s="622"/>
      <c r="K353" s="622"/>
      <c r="L353" s="624"/>
      <c r="M353" s="622"/>
      <c r="N353" s="136"/>
      <c r="O353" s="622"/>
      <c r="P353" s="624"/>
      <c r="Q353" s="353"/>
      <c r="R353" s="353"/>
      <c r="S353" s="130"/>
    </row>
    <row r="354" spans="1:19" s="133" customFormat="1" x14ac:dyDescent="0.25">
      <c r="A354" s="489"/>
      <c r="B354" s="489"/>
      <c r="D354" s="622"/>
      <c r="E354" s="622"/>
      <c r="F354" s="622"/>
      <c r="G354" s="136"/>
      <c r="H354" s="622"/>
      <c r="I354" s="622"/>
      <c r="J354" s="622"/>
      <c r="K354" s="622"/>
      <c r="L354" s="624"/>
      <c r="M354" s="622"/>
      <c r="N354" s="136"/>
      <c r="O354" s="622"/>
      <c r="P354" s="624"/>
      <c r="Q354" s="353"/>
      <c r="R354" s="353"/>
      <c r="S354" s="130"/>
    </row>
    <row r="355" spans="1:19" s="133" customFormat="1" x14ac:dyDescent="0.25">
      <c r="A355" s="489"/>
      <c r="B355" s="489"/>
      <c r="D355" s="622"/>
      <c r="E355" s="622"/>
      <c r="F355" s="622"/>
      <c r="G355" s="136"/>
      <c r="H355" s="622"/>
      <c r="I355" s="622"/>
      <c r="J355" s="622"/>
      <c r="K355" s="622"/>
      <c r="L355" s="624"/>
      <c r="M355" s="622"/>
      <c r="N355" s="136"/>
      <c r="O355" s="622"/>
      <c r="P355" s="624"/>
      <c r="Q355" s="353"/>
      <c r="R355" s="353"/>
      <c r="S355" s="130"/>
    </row>
    <row r="356" spans="1:19" s="133" customFormat="1" x14ac:dyDescent="0.25">
      <c r="A356" s="489"/>
      <c r="B356" s="489"/>
      <c r="D356" s="622"/>
      <c r="E356" s="622"/>
      <c r="F356" s="622"/>
      <c r="G356" s="136"/>
      <c r="H356" s="622"/>
      <c r="I356" s="622"/>
      <c r="J356" s="622"/>
      <c r="K356" s="622"/>
      <c r="L356" s="624"/>
      <c r="M356" s="622"/>
      <c r="N356" s="136"/>
      <c r="O356" s="622"/>
      <c r="P356" s="624"/>
      <c r="Q356" s="353"/>
      <c r="R356" s="353"/>
      <c r="S356" s="130"/>
    </row>
    <row r="357" spans="1:19" s="133" customFormat="1" x14ac:dyDescent="0.25">
      <c r="A357" s="489"/>
      <c r="B357" s="489"/>
      <c r="D357" s="622"/>
      <c r="E357" s="622"/>
      <c r="F357" s="622"/>
      <c r="G357" s="136"/>
      <c r="H357" s="622"/>
      <c r="I357" s="622"/>
      <c r="J357" s="622"/>
      <c r="K357" s="622"/>
      <c r="L357" s="624"/>
      <c r="M357" s="622"/>
      <c r="N357" s="136"/>
      <c r="O357" s="622"/>
      <c r="P357" s="624"/>
      <c r="Q357" s="353"/>
      <c r="R357" s="353"/>
      <c r="S357" s="130"/>
    </row>
    <row r="358" spans="1:19" s="133" customFormat="1" x14ac:dyDescent="0.25">
      <c r="A358" s="489"/>
      <c r="B358" s="489"/>
      <c r="D358" s="622"/>
      <c r="E358" s="622"/>
      <c r="F358" s="622"/>
      <c r="G358" s="136"/>
      <c r="H358" s="622"/>
      <c r="I358" s="622"/>
      <c r="J358" s="622"/>
      <c r="K358" s="622"/>
      <c r="L358" s="624"/>
      <c r="M358" s="622"/>
      <c r="N358" s="136"/>
      <c r="O358" s="622"/>
      <c r="P358" s="624"/>
      <c r="Q358" s="353"/>
      <c r="R358" s="353"/>
      <c r="S358" s="130"/>
    </row>
    <row r="359" spans="1:19" s="133" customFormat="1" x14ac:dyDescent="0.25">
      <c r="A359" s="489"/>
      <c r="B359" s="489"/>
      <c r="D359" s="622"/>
      <c r="E359" s="622"/>
      <c r="F359" s="622"/>
      <c r="G359" s="136"/>
      <c r="H359" s="622"/>
      <c r="I359" s="622"/>
      <c r="J359" s="622"/>
      <c r="K359" s="622"/>
      <c r="L359" s="624"/>
      <c r="M359" s="622"/>
      <c r="N359" s="136"/>
      <c r="O359" s="622"/>
      <c r="P359" s="624"/>
      <c r="Q359" s="353"/>
      <c r="R359" s="353"/>
      <c r="S359" s="130"/>
    </row>
    <row r="360" spans="1:19" s="133" customFormat="1" x14ac:dyDescent="0.25">
      <c r="A360" s="489"/>
      <c r="B360" s="489"/>
      <c r="D360" s="622"/>
      <c r="E360" s="622"/>
      <c r="F360" s="622"/>
      <c r="G360" s="136"/>
      <c r="H360" s="622"/>
      <c r="I360" s="622"/>
      <c r="J360" s="622"/>
      <c r="K360" s="622"/>
      <c r="L360" s="624"/>
      <c r="M360" s="622"/>
      <c r="N360" s="136"/>
      <c r="O360" s="622"/>
      <c r="P360" s="624"/>
      <c r="Q360" s="353"/>
      <c r="R360" s="353"/>
      <c r="S360" s="130"/>
    </row>
    <row r="361" spans="1:19" s="133" customFormat="1" x14ac:dyDescent="0.25">
      <c r="A361" s="489"/>
      <c r="B361" s="489"/>
      <c r="D361" s="622"/>
      <c r="E361" s="622"/>
      <c r="F361" s="622"/>
      <c r="G361" s="136"/>
      <c r="H361" s="622"/>
      <c r="I361" s="622"/>
      <c r="J361" s="622"/>
      <c r="K361" s="622"/>
      <c r="L361" s="624"/>
      <c r="M361" s="622"/>
      <c r="N361" s="136"/>
      <c r="O361" s="622"/>
      <c r="P361" s="624"/>
      <c r="Q361" s="353"/>
      <c r="R361" s="353"/>
      <c r="S361" s="130"/>
    </row>
    <row r="362" spans="1:19" s="133" customFormat="1" x14ac:dyDescent="0.25">
      <c r="A362" s="489"/>
      <c r="B362" s="489"/>
      <c r="D362" s="622"/>
      <c r="E362" s="622"/>
      <c r="F362" s="622"/>
      <c r="G362" s="136"/>
      <c r="H362" s="622"/>
      <c r="I362" s="622"/>
      <c r="J362" s="622"/>
      <c r="K362" s="622"/>
      <c r="L362" s="624"/>
      <c r="M362" s="622"/>
      <c r="N362" s="136"/>
      <c r="O362" s="622"/>
      <c r="P362" s="624"/>
      <c r="Q362" s="353"/>
      <c r="R362" s="353"/>
      <c r="S362" s="130"/>
    </row>
    <row r="363" spans="1:19" s="133" customFormat="1" x14ac:dyDescent="0.25">
      <c r="A363" s="489"/>
      <c r="B363" s="489"/>
      <c r="D363" s="622"/>
      <c r="E363" s="622"/>
      <c r="F363" s="622"/>
      <c r="G363" s="136"/>
      <c r="H363" s="622"/>
      <c r="I363" s="622"/>
      <c r="J363" s="622"/>
      <c r="K363" s="622"/>
      <c r="L363" s="624"/>
      <c r="M363" s="622"/>
      <c r="N363" s="136"/>
      <c r="O363" s="622"/>
      <c r="P363" s="624"/>
      <c r="Q363" s="353"/>
      <c r="R363" s="353"/>
      <c r="S363" s="130"/>
    </row>
    <row r="364" spans="1:19" s="133" customFormat="1" x14ac:dyDescent="0.25">
      <c r="A364" s="489"/>
      <c r="B364" s="489"/>
      <c r="D364" s="622"/>
      <c r="E364" s="622"/>
      <c r="F364" s="622"/>
      <c r="G364" s="136"/>
      <c r="H364" s="622"/>
      <c r="I364" s="622"/>
      <c r="J364" s="622"/>
      <c r="K364" s="622"/>
      <c r="L364" s="624"/>
      <c r="M364" s="622"/>
      <c r="N364" s="136"/>
      <c r="O364" s="622"/>
      <c r="P364" s="624"/>
      <c r="Q364" s="353"/>
      <c r="R364" s="353"/>
      <c r="S364" s="130"/>
    </row>
    <row r="365" spans="1:19" s="133" customFormat="1" x14ac:dyDescent="0.25">
      <c r="A365" s="489"/>
      <c r="B365" s="489"/>
      <c r="D365" s="622"/>
      <c r="E365" s="622"/>
      <c r="F365" s="622"/>
      <c r="G365" s="136"/>
      <c r="H365" s="622"/>
      <c r="I365" s="622"/>
      <c r="J365" s="622"/>
      <c r="K365" s="622"/>
      <c r="L365" s="624"/>
      <c r="M365" s="622"/>
      <c r="N365" s="136"/>
      <c r="O365" s="622"/>
      <c r="P365" s="624"/>
      <c r="Q365" s="353"/>
      <c r="R365" s="353"/>
      <c r="S365" s="130"/>
    </row>
    <row r="366" spans="1:19" s="133" customFormat="1" x14ac:dyDescent="0.25">
      <c r="A366" s="489"/>
      <c r="B366" s="489"/>
      <c r="D366" s="622"/>
      <c r="E366" s="622"/>
      <c r="F366" s="622"/>
      <c r="G366" s="136"/>
      <c r="H366" s="622"/>
      <c r="I366" s="622"/>
      <c r="J366" s="622"/>
      <c r="K366" s="622"/>
      <c r="L366" s="624"/>
      <c r="M366" s="622"/>
      <c r="N366" s="136"/>
      <c r="O366" s="622"/>
      <c r="P366" s="624"/>
      <c r="Q366" s="353"/>
      <c r="R366" s="353"/>
      <c r="S366" s="130"/>
    </row>
    <row r="367" spans="1:19" s="133" customFormat="1" x14ac:dyDescent="0.25">
      <c r="A367" s="489"/>
      <c r="B367" s="489"/>
      <c r="D367" s="622"/>
      <c r="E367" s="622"/>
      <c r="F367" s="622"/>
      <c r="G367" s="136"/>
      <c r="H367" s="622"/>
      <c r="I367" s="622"/>
      <c r="J367" s="622"/>
      <c r="K367" s="622"/>
      <c r="L367" s="624"/>
      <c r="M367" s="622"/>
      <c r="N367" s="136"/>
      <c r="O367" s="622"/>
      <c r="P367" s="624"/>
      <c r="Q367" s="353"/>
      <c r="R367" s="353"/>
      <c r="S367" s="130"/>
    </row>
    <row r="368" spans="1:19" s="133" customFormat="1" x14ac:dyDescent="0.25">
      <c r="A368" s="489"/>
      <c r="B368" s="489"/>
      <c r="D368" s="622"/>
      <c r="E368" s="622"/>
      <c r="F368" s="622"/>
      <c r="G368" s="136"/>
      <c r="H368" s="622"/>
      <c r="I368" s="622"/>
      <c r="J368" s="622"/>
      <c r="K368" s="622"/>
      <c r="L368" s="624"/>
      <c r="M368" s="622"/>
      <c r="N368" s="136"/>
      <c r="O368" s="622"/>
      <c r="P368" s="624"/>
      <c r="Q368" s="353"/>
      <c r="R368" s="353"/>
      <c r="S368" s="130"/>
    </row>
    <row r="369" spans="1:19" s="133" customFormat="1" x14ac:dyDescent="0.25">
      <c r="A369" s="489"/>
      <c r="B369" s="489"/>
      <c r="D369" s="622"/>
      <c r="E369" s="622"/>
      <c r="F369" s="622"/>
      <c r="G369" s="136"/>
      <c r="H369" s="622"/>
      <c r="I369" s="622"/>
      <c r="J369" s="622"/>
      <c r="K369" s="622"/>
      <c r="L369" s="624"/>
      <c r="M369" s="622"/>
      <c r="N369" s="136"/>
      <c r="O369" s="622"/>
      <c r="P369" s="624"/>
      <c r="Q369" s="353"/>
      <c r="R369" s="353"/>
      <c r="S369" s="130"/>
    </row>
    <row r="370" spans="1:19" s="133" customFormat="1" x14ac:dyDescent="0.25">
      <c r="A370" s="489"/>
      <c r="B370" s="489"/>
      <c r="D370" s="622"/>
      <c r="E370" s="622"/>
      <c r="F370" s="622"/>
      <c r="G370" s="136"/>
      <c r="H370" s="622"/>
      <c r="I370" s="622"/>
      <c r="J370" s="622"/>
      <c r="K370" s="622"/>
      <c r="L370" s="624"/>
      <c r="M370" s="622"/>
      <c r="N370" s="136"/>
      <c r="O370" s="622"/>
      <c r="P370" s="624"/>
      <c r="Q370" s="353"/>
      <c r="R370" s="353"/>
      <c r="S370" s="130"/>
    </row>
    <row r="371" spans="1:19" s="133" customFormat="1" x14ac:dyDescent="0.25">
      <c r="A371" s="489"/>
      <c r="B371" s="489"/>
      <c r="D371" s="622"/>
      <c r="E371" s="622"/>
      <c r="F371" s="622"/>
      <c r="G371" s="136"/>
      <c r="H371" s="622"/>
      <c r="I371" s="622"/>
      <c r="J371" s="622"/>
      <c r="K371" s="622"/>
      <c r="L371" s="624"/>
      <c r="M371" s="622"/>
      <c r="N371" s="136"/>
      <c r="O371" s="622"/>
      <c r="P371" s="624"/>
      <c r="Q371" s="353"/>
      <c r="R371" s="353"/>
      <c r="S371" s="130"/>
    </row>
    <row r="372" spans="1:19" s="133" customFormat="1" x14ac:dyDescent="0.25">
      <c r="A372" s="489"/>
      <c r="B372" s="489"/>
      <c r="D372" s="622"/>
      <c r="E372" s="622"/>
      <c r="F372" s="622"/>
      <c r="G372" s="136"/>
      <c r="H372" s="622"/>
      <c r="I372" s="622"/>
      <c r="J372" s="622"/>
      <c r="K372" s="622"/>
      <c r="L372" s="624"/>
      <c r="M372" s="622"/>
      <c r="N372" s="136"/>
      <c r="O372" s="622"/>
      <c r="P372" s="624"/>
      <c r="Q372" s="353"/>
      <c r="R372" s="353"/>
      <c r="S372" s="130"/>
    </row>
    <row r="373" spans="1:19" s="133" customFormat="1" x14ac:dyDescent="0.25">
      <c r="A373" s="489"/>
      <c r="B373" s="489"/>
      <c r="D373" s="622"/>
      <c r="E373" s="622"/>
      <c r="F373" s="622"/>
      <c r="G373" s="136"/>
      <c r="H373" s="622"/>
      <c r="I373" s="622"/>
      <c r="J373" s="622"/>
      <c r="K373" s="622"/>
      <c r="L373" s="624"/>
      <c r="M373" s="622"/>
      <c r="N373" s="136"/>
      <c r="O373" s="622"/>
      <c r="P373" s="624"/>
      <c r="Q373" s="353"/>
      <c r="R373" s="353"/>
      <c r="S373" s="130"/>
    </row>
    <row r="374" spans="1:19" s="133" customFormat="1" x14ac:dyDescent="0.25">
      <c r="A374" s="489"/>
      <c r="B374" s="489"/>
      <c r="D374" s="622"/>
      <c r="E374" s="622"/>
      <c r="F374" s="622"/>
      <c r="G374" s="136"/>
      <c r="H374" s="622"/>
      <c r="I374" s="622"/>
      <c r="J374" s="622"/>
      <c r="K374" s="622"/>
      <c r="L374" s="624"/>
      <c r="M374" s="622"/>
      <c r="N374" s="136"/>
      <c r="O374" s="622"/>
      <c r="P374" s="624"/>
      <c r="Q374" s="353"/>
      <c r="R374" s="353"/>
      <c r="S374" s="130"/>
    </row>
    <row r="375" spans="1:19" s="133" customFormat="1" x14ac:dyDescent="0.25">
      <c r="A375" s="489"/>
      <c r="B375" s="489"/>
      <c r="D375" s="622"/>
      <c r="E375" s="622"/>
      <c r="F375" s="622"/>
      <c r="G375" s="136"/>
      <c r="H375" s="622"/>
      <c r="I375" s="622"/>
      <c r="J375" s="622"/>
      <c r="K375" s="622"/>
      <c r="L375" s="624"/>
      <c r="M375" s="622"/>
      <c r="N375" s="136"/>
      <c r="O375" s="622"/>
      <c r="P375" s="624"/>
      <c r="Q375" s="353"/>
      <c r="R375" s="353"/>
      <c r="S375" s="130"/>
    </row>
    <row r="376" spans="1:19" s="133" customFormat="1" x14ac:dyDescent="0.25">
      <c r="A376" s="489"/>
      <c r="B376" s="489"/>
      <c r="D376" s="622"/>
      <c r="E376" s="622"/>
      <c r="F376" s="622"/>
      <c r="G376" s="136"/>
      <c r="H376" s="622"/>
      <c r="I376" s="622"/>
      <c r="J376" s="622"/>
      <c r="K376" s="622"/>
      <c r="L376" s="624"/>
      <c r="M376" s="622"/>
      <c r="N376" s="136"/>
      <c r="O376" s="622"/>
      <c r="P376" s="624"/>
      <c r="Q376" s="353"/>
      <c r="R376" s="353"/>
      <c r="S376" s="130"/>
    </row>
    <row r="377" spans="1:19" s="133" customFormat="1" x14ac:dyDescent="0.25">
      <c r="A377" s="489"/>
      <c r="B377" s="489"/>
      <c r="D377" s="622"/>
      <c r="E377" s="622"/>
      <c r="F377" s="622"/>
      <c r="G377" s="136"/>
      <c r="H377" s="622"/>
      <c r="I377" s="622"/>
      <c r="J377" s="622"/>
      <c r="K377" s="622"/>
      <c r="L377" s="624"/>
      <c r="M377" s="622"/>
      <c r="N377" s="136"/>
      <c r="O377" s="622"/>
      <c r="P377" s="624"/>
      <c r="Q377" s="353"/>
      <c r="R377" s="353"/>
      <c r="S377" s="130"/>
    </row>
    <row r="378" spans="1:19" s="133" customFormat="1" x14ac:dyDescent="0.25">
      <c r="A378" s="489"/>
      <c r="B378" s="489"/>
      <c r="D378" s="622"/>
      <c r="E378" s="622"/>
      <c r="F378" s="622"/>
      <c r="G378" s="136"/>
      <c r="H378" s="622"/>
      <c r="I378" s="622"/>
      <c r="J378" s="622"/>
      <c r="K378" s="622"/>
      <c r="L378" s="624"/>
      <c r="M378" s="622"/>
      <c r="N378" s="136"/>
      <c r="O378" s="622"/>
      <c r="P378" s="624"/>
      <c r="Q378" s="353"/>
      <c r="R378" s="353"/>
      <c r="S378" s="130"/>
    </row>
    <row r="379" spans="1:19" s="133" customFormat="1" x14ac:dyDescent="0.25">
      <c r="A379" s="489"/>
      <c r="B379" s="489"/>
      <c r="D379" s="622"/>
      <c r="E379" s="622"/>
      <c r="F379" s="622"/>
      <c r="G379" s="136"/>
      <c r="H379" s="622"/>
      <c r="I379" s="622"/>
      <c r="J379" s="622"/>
      <c r="K379" s="622"/>
      <c r="L379" s="624"/>
      <c r="M379" s="622"/>
      <c r="N379" s="136"/>
      <c r="O379" s="622"/>
      <c r="P379" s="624"/>
      <c r="Q379" s="353"/>
      <c r="R379" s="353"/>
      <c r="S379" s="130"/>
    </row>
    <row r="380" spans="1:19" s="133" customFormat="1" x14ac:dyDescent="0.25">
      <c r="A380" s="489"/>
      <c r="B380" s="489"/>
      <c r="D380" s="622"/>
      <c r="E380" s="622"/>
      <c r="F380" s="622"/>
      <c r="G380" s="136"/>
      <c r="H380" s="622"/>
      <c r="I380" s="622"/>
      <c r="J380" s="622"/>
      <c r="K380" s="622"/>
      <c r="L380" s="624"/>
      <c r="M380" s="622"/>
      <c r="N380" s="136"/>
      <c r="O380" s="622"/>
      <c r="P380" s="624"/>
      <c r="Q380" s="353"/>
      <c r="R380" s="353"/>
      <c r="S380" s="130"/>
    </row>
    <row r="381" spans="1:19" s="133" customFormat="1" x14ac:dyDescent="0.25">
      <c r="A381" s="489"/>
      <c r="B381" s="489"/>
      <c r="D381" s="622"/>
      <c r="E381" s="622"/>
      <c r="F381" s="622"/>
      <c r="G381" s="136"/>
      <c r="H381" s="622"/>
      <c r="I381" s="622"/>
      <c r="J381" s="622"/>
      <c r="K381" s="622"/>
      <c r="L381" s="624"/>
      <c r="M381" s="622"/>
      <c r="N381" s="136"/>
      <c r="O381" s="622"/>
      <c r="P381" s="624"/>
      <c r="Q381" s="353"/>
      <c r="R381" s="353"/>
      <c r="S381" s="130"/>
    </row>
    <row r="382" spans="1:19" s="133" customFormat="1" x14ac:dyDescent="0.25">
      <c r="A382" s="489"/>
      <c r="B382" s="489"/>
      <c r="D382" s="622"/>
      <c r="E382" s="622"/>
      <c r="F382" s="622"/>
      <c r="G382" s="136"/>
      <c r="H382" s="622"/>
      <c r="I382" s="622"/>
      <c r="J382" s="622"/>
      <c r="K382" s="622"/>
      <c r="L382" s="624"/>
      <c r="M382" s="622"/>
      <c r="N382" s="136"/>
      <c r="O382" s="622"/>
      <c r="P382" s="624"/>
      <c r="Q382" s="353"/>
      <c r="R382" s="353"/>
      <c r="S382" s="130"/>
    </row>
    <row r="383" spans="1:19" s="133" customFormat="1" x14ac:dyDescent="0.25">
      <c r="A383" s="489"/>
      <c r="B383" s="489"/>
      <c r="D383" s="622"/>
      <c r="E383" s="622"/>
      <c r="F383" s="622"/>
      <c r="G383" s="136"/>
      <c r="H383" s="622"/>
      <c r="I383" s="622"/>
      <c r="J383" s="622"/>
      <c r="K383" s="622"/>
      <c r="L383" s="624"/>
      <c r="M383" s="622"/>
      <c r="N383" s="136"/>
      <c r="O383" s="622"/>
      <c r="P383" s="624"/>
      <c r="Q383" s="353"/>
      <c r="R383" s="353"/>
      <c r="S383" s="130"/>
    </row>
    <row r="384" spans="1:19" s="133" customFormat="1" x14ac:dyDescent="0.25">
      <c r="A384" s="489"/>
      <c r="B384" s="489"/>
      <c r="D384" s="622"/>
      <c r="E384" s="622"/>
      <c r="F384" s="622"/>
      <c r="G384" s="136"/>
      <c r="H384" s="622"/>
      <c r="I384" s="622"/>
      <c r="J384" s="622"/>
      <c r="K384" s="622"/>
      <c r="L384" s="624"/>
      <c r="M384" s="622"/>
      <c r="N384" s="136"/>
      <c r="O384" s="622"/>
      <c r="P384" s="624"/>
      <c r="Q384" s="353"/>
      <c r="R384" s="353"/>
      <c r="S384" s="130"/>
    </row>
    <row r="385" spans="1:19" s="133" customFormat="1" x14ac:dyDescent="0.25">
      <c r="A385" s="489"/>
      <c r="B385" s="489"/>
      <c r="D385" s="622"/>
      <c r="E385" s="622"/>
      <c r="F385" s="622"/>
      <c r="G385" s="136"/>
      <c r="H385" s="622"/>
      <c r="I385" s="622"/>
      <c r="J385" s="622"/>
      <c r="K385" s="622"/>
      <c r="L385" s="624"/>
      <c r="M385" s="622"/>
      <c r="N385" s="136"/>
      <c r="O385" s="622"/>
      <c r="P385" s="624"/>
      <c r="Q385" s="353"/>
      <c r="R385" s="353"/>
      <c r="S385" s="130"/>
    </row>
    <row r="386" spans="1:19" s="133" customFormat="1" x14ac:dyDescent="0.25">
      <c r="A386" s="489"/>
      <c r="B386" s="489"/>
      <c r="D386" s="622"/>
      <c r="E386" s="622"/>
      <c r="F386" s="622"/>
      <c r="G386" s="136"/>
      <c r="H386" s="622"/>
      <c r="I386" s="622"/>
      <c r="J386" s="622"/>
      <c r="K386" s="622"/>
      <c r="L386" s="624"/>
      <c r="M386" s="622"/>
      <c r="N386" s="136"/>
      <c r="O386" s="622"/>
      <c r="P386" s="624"/>
      <c r="Q386" s="353"/>
      <c r="R386" s="353"/>
      <c r="S386" s="130"/>
    </row>
    <row r="387" spans="1:19" s="133" customFormat="1" x14ac:dyDescent="0.25">
      <c r="A387" s="489"/>
      <c r="B387" s="489"/>
      <c r="D387" s="622"/>
      <c r="E387" s="622"/>
      <c r="F387" s="622"/>
      <c r="G387" s="136"/>
      <c r="H387" s="622"/>
      <c r="I387" s="622"/>
      <c r="J387" s="622"/>
      <c r="K387" s="622"/>
      <c r="L387" s="624"/>
      <c r="M387" s="622"/>
      <c r="N387" s="136"/>
      <c r="O387" s="622"/>
      <c r="P387" s="624"/>
      <c r="Q387" s="353"/>
      <c r="R387" s="353"/>
      <c r="S387" s="130"/>
    </row>
    <row r="388" spans="1:19" s="133" customFormat="1" x14ac:dyDescent="0.25">
      <c r="A388" s="489"/>
      <c r="B388" s="489"/>
      <c r="D388" s="622"/>
      <c r="E388" s="622"/>
      <c r="F388" s="622"/>
      <c r="G388" s="136"/>
      <c r="H388" s="622"/>
      <c r="I388" s="622"/>
      <c r="J388" s="622"/>
      <c r="K388" s="622"/>
      <c r="L388" s="624"/>
      <c r="M388" s="622"/>
      <c r="N388" s="136"/>
      <c r="O388" s="622"/>
      <c r="P388" s="624"/>
      <c r="Q388" s="353"/>
      <c r="R388" s="353"/>
      <c r="S388" s="130"/>
    </row>
    <row r="389" spans="1:19" s="133" customFormat="1" x14ac:dyDescent="0.25">
      <c r="A389" s="489"/>
      <c r="B389" s="489"/>
      <c r="D389" s="622"/>
      <c r="E389" s="622"/>
      <c r="F389" s="622"/>
      <c r="G389" s="136"/>
      <c r="H389" s="622"/>
      <c r="I389" s="622"/>
      <c r="J389" s="622"/>
      <c r="K389" s="622"/>
      <c r="L389" s="624"/>
      <c r="M389" s="622"/>
      <c r="N389" s="136"/>
      <c r="O389" s="622"/>
      <c r="P389" s="624"/>
      <c r="Q389" s="353"/>
      <c r="R389" s="353"/>
      <c r="S389" s="130"/>
    </row>
    <row r="390" spans="1:19" s="133" customFormat="1" x14ac:dyDescent="0.25">
      <c r="A390" s="489"/>
      <c r="B390" s="489"/>
      <c r="D390" s="622"/>
      <c r="E390" s="622"/>
      <c r="F390" s="622"/>
      <c r="G390" s="136"/>
      <c r="H390" s="622"/>
      <c r="I390" s="622"/>
      <c r="J390" s="622"/>
      <c r="K390" s="622"/>
      <c r="L390" s="624"/>
      <c r="M390" s="622"/>
      <c r="N390" s="136"/>
      <c r="O390" s="622"/>
      <c r="P390" s="624"/>
      <c r="Q390" s="353"/>
      <c r="R390" s="353"/>
      <c r="S390" s="130"/>
    </row>
    <row r="391" spans="1:19" s="133" customFormat="1" x14ac:dyDescent="0.25">
      <c r="A391" s="489"/>
      <c r="B391" s="489"/>
      <c r="D391" s="622"/>
      <c r="E391" s="622"/>
      <c r="F391" s="622"/>
      <c r="G391" s="136"/>
      <c r="H391" s="622"/>
      <c r="I391" s="622"/>
      <c r="J391" s="622"/>
      <c r="K391" s="622"/>
      <c r="L391" s="624"/>
      <c r="M391" s="622"/>
      <c r="N391" s="136"/>
      <c r="O391" s="622"/>
      <c r="P391" s="624"/>
      <c r="Q391" s="353"/>
      <c r="R391" s="353"/>
      <c r="S391" s="130"/>
    </row>
    <row r="392" spans="1:19" s="133" customFormat="1" x14ac:dyDescent="0.25">
      <c r="A392" s="489"/>
      <c r="B392" s="489"/>
      <c r="D392" s="622"/>
      <c r="E392" s="622"/>
      <c r="F392" s="622"/>
      <c r="G392" s="136"/>
      <c r="H392" s="622"/>
      <c r="I392" s="622"/>
      <c r="J392" s="622"/>
      <c r="K392" s="622"/>
      <c r="L392" s="624"/>
      <c r="M392" s="622"/>
      <c r="N392" s="136"/>
      <c r="O392" s="622"/>
      <c r="P392" s="624"/>
      <c r="Q392" s="353"/>
      <c r="R392" s="353"/>
      <c r="S392" s="130"/>
    </row>
    <row r="393" spans="1:19" s="133" customFormat="1" x14ac:dyDescent="0.25">
      <c r="A393" s="489"/>
      <c r="B393" s="489"/>
      <c r="D393" s="622"/>
      <c r="E393" s="622"/>
      <c r="F393" s="622"/>
      <c r="G393" s="136"/>
      <c r="H393" s="622"/>
      <c r="I393" s="622"/>
      <c r="J393" s="622"/>
      <c r="K393" s="622"/>
      <c r="L393" s="624"/>
      <c r="M393" s="622"/>
      <c r="N393" s="136"/>
      <c r="O393" s="622"/>
      <c r="P393" s="624"/>
      <c r="Q393" s="353"/>
      <c r="R393" s="353"/>
      <c r="S393" s="130"/>
    </row>
    <row r="394" spans="1:19" s="133" customFormat="1" x14ac:dyDescent="0.25">
      <c r="A394" s="489"/>
      <c r="B394" s="489"/>
      <c r="D394" s="622"/>
      <c r="E394" s="622"/>
      <c r="F394" s="622"/>
      <c r="G394" s="136"/>
      <c r="H394" s="622"/>
      <c r="I394" s="622"/>
      <c r="J394" s="622"/>
      <c r="K394" s="622"/>
      <c r="L394" s="624"/>
      <c r="M394" s="622"/>
      <c r="N394" s="136"/>
      <c r="O394" s="622"/>
      <c r="P394" s="624"/>
      <c r="Q394" s="353"/>
      <c r="R394" s="353"/>
      <c r="S394" s="130"/>
    </row>
    <row r="395" spans="1:19" s="133" customFormat="1" x14ac:dyDescent="0.25">
      <c r="A395" s="489"/>
      <c r="B395" s="489"/>
      <c r="D395" s="622"/>
      <c r="E395" s="622"/>
      <c r="F395" s="622"/>
      <c r="G395" s="136"/>
      <c r="H395" s="622"/>
      <c r="I395" s="622"/>
      <c r="J395" s="622"/>
      <c r="K395" s="622"/>
      <c r="L395" s="624"/>
      <c r="M395" s="622"/>
      <c r="N395" s="136"/>
      <c r="O395" s="622"/>
      <c r="P395" s="624"/>
      <c r="Q395" s="353"/>
      <c r="R395" s="353"/>
      <c r="S395" s="130"/>
    </row>
    <row r="396" spans="1:19" s="133" customFormat="1" x14ac:dyDescent="0.25">
      <c r="A396" s="489"/>
      <c r="B396" s="489"/>
      <c r="D396" s="622"/>
      <c r="E396" s="622"/>
      <c r="F396" s="622"/>
      <c r="G396" s="136"/>
      <c r="H396" s="622"/>
      <c r="I396" s="622"/>
      <c r="J396" s="622"/>
      <c r="K396" s="622"/>
      <c r="L396" s="624"/>
      <c r="M396" s="622"/>
      <c r="N396" s="136"/>
      <c r="O396" s="622"/>
      <c r="P396" s="624"/>
      <c r="Q396" s="353"/>
      <c r="R396" s="353"/>
      <c r="S396" s="130"/>
    </row>
    <row r="397" spans="1:19" s="133" customFormat="1" x14ac:dyDescent="0.25">
      <c r="A397" s="489"/>
      <c r="B397" s="489"/>
      <c r="D397" s="622"/>
      <c r="E397" s="622"/>
      <c r="F397" s="622"/>
      <c r="G397" s="136"/>
      <c r="H397" s="622"/>
      <c r="I397" s="622"/>
      <c r="J397" s="622"/>
      <c r="K397" s="622"/>
      <c r="L397" s="624"/>
      <c r="M397" s="622"/>
      <c r="N397" s="136"/>
      <c r="O397" s="622"/>
      <c r="P397" s="624"/>
      <c r="Q397" s="353"/>
      <c r="R397" s="353"/>
      <c r="S397" s="130"/>
    </row>
    <row r="398" spans="1:19" s="133" customFormat="1" x14ac:dyDescent="0.25">
      <c r="A398" s="489"/>
      <c r="B398" s="489"/>
      <c r="D398" s="622"/>
      <c r="E398" s="622"/>
      <c r="F398" s="622"/>
      <c r="G398" s="136"/>
      <c r="H398" s="622"/>
      <c r="I398" s="622"/>
      <c r="J398" s="622"/>
      <c r="K398" s="622"/>
      <c r="L398" s="624"/>
      <c r="M398" s="622"/>
      <c r="N398" s="136"/>
      <c r="O398" s="622"/>
      <c r="P398" s="624"/>
      <c r="Q398" s="353"/>
      <c r="R398" s="353"/>
      <c r="S398" s="130"/>
    </row>
    <row r="399" spans="1:19" s="133" customFormat="1" x14ac:dyDescent="0.25">
      <c r="A399" s="489"/>
      <c r="B399" s="489"/>
      <c r="D399" s="622"/>
      <c r="E399" s="622"/>
      <c r="F399" s="622"/>
      <c r="G399" s="136"/>
      <c r="H399" s="622"/>
      <c r="I399" s="622"/>
      <c r="J399" s="622"/>
      <c r="K399" s="622"/>
      <c r="L399" s="624"/>
      <c r="M399" s="622"/>
      <c r="N399" s="136"/>
      <c r="O399" s="622"/>
      <c r="P399" s="624"/>
      <c r="Q399" s="353"/>
      <c r="R399" s="353"/>
      <c r="S399" s="130"/>
    </row>
    <row r="400" spans="1:19" s="133" customFormat="1" x14ac:dyDescent="0.25">
      <c r="A400" s="489"/>
      <c r="B400" s="489"/>
      <c r="D400" s="622"/>
      <c r="E400" s="622"/>
      <c r="F400" s="622"/>
      <c r="G400" s="136"/>
      <c r="H400" s="622"/>
      <c r="I400" s="622"/>
      <c r="J400" s="622"/>
      <c r="K400" s="622"/>
      <c r="L400" s="624"/>
      <c r="M400" s="622"/>
      <c r="N400" s="136"/>
      <c r="O400" s="622"/>
      <c r="P400" s="624"/>
      <c r="Q400" s="353"/>
      <c r="R400" s="353"/>
      <c r="S400" s="130"/>
    </row>
    <row r="401" spans="1:19" s="133" customFormat="1" x14ac:dyDescent="0.25">
      <c r="A401" s="489"/>
      <c r="B401" s="489"/>
      <c r="D401" s="622"/>
      <c r="E401" s="622"/>
      <c r="F401" s="622"/>
      <c r="G401" s="136"/>
      <c r="H401" s="622"/>
      <c r="I401" s="622"/>
      <c r="J401" s="622"/>
      <c r="K401" s="622"/>
      <c r="L401" s="624"/>
      <c r="M401" s="622"/>
      <c r="N401" s="136"/>
      <c r="O401" s="622"/>
      <c r="P401" s="624"/>
      <c r="Q401" s="353"/>
      <c r="R401" s="353"/>
      <c r="S401" s="130"/>
    </row>
    <row r="402" spans="1:19" s="133" customFormat="1" x14ac:dyDescent="0.25">
      <c r="A402" s="489"/>
      <c r="B402" s="489"/>
      <c r="D402" s="622"/>
      <c r="E402" s="622"/>
      <c r="F402" s="622"/>
      <c r="G402" s="136"/>
      <c r="H402" s="622"/>
      <c r="I402" s="622"/>
      <c r="J402" s="622"/>
      <c r="K402" s="622"/>
      <c r="L402" s="624"/>
      <c r="M402" s="622"/>
      <c r="N402" s="136"/>
      <c r="O402" s="622"/>
      <c r="P402" s="624"/>
      <c r="Q402" s="353"/>
      <c r="R402" s="353"/>
      <c r="S402" s="130"/>
    </row>
    <row r="403" spans="1:19" s="133" customFormat="1" x14ac:dyDescent="0.25">
      <c r="A403" s="489"/>
      <c r="B403" s="489"/>
      <c r="D403" s="622"/>
      <c r="E403" s="622"/>
      <c r="F403" s="622"/>
      <c r="G403" s="136"/>
      <c r="H403" s="622"/>
      <c r="I403" s="622"/>
      <c r="J403" s="622"/>
      <c r="K403" s="622"/>
      <c r="L403" s="624"/>
      <c r="M403" s="622"/>
      <c r="N403" s="136"/>
      <c r="O403" s="622"/>
      <c r="P403" s="624"/>
      <c r="Q403" s="353"/>
      <c r="R403" s="353"/>
      <c r="S403" s="130"/>
    </row>
    <row r="404" spans="1:19" s="133" customFormat="1" x14ac:dyDescent="0.25">
      <c r="A404" s="489"/>
      <c r="B404" s="489"/>
      <c r="D404" s="622"/>
      <c r="E404" s="622"/>
      <c r="F404" s="622"/>
      <c r="G404" s="136"/>
      <c r="H404" s="622"/>
      <c r="I404" s="622"/>
      <c r="J404" s="622"/>
      <c r="K404" s="622"/>
      <c r="L404" s="624"/>
      <c r="M404" s="622"/>
      <c r="N404" s="136"/>
      <c r="O404" s="622"/>
      <c r="P404" s="624"/>
      <c r="Q404" s="353"/>
      <c r="R404" s="353"/>
      <c r="S404" s="130"/>
    </row>
    <row r="405" spans="1:19" s="133" customFormat="1" x14ac:dyDescent="0.25">
      <c r="A405" s="489"/>
      <c r="B405" s="489"/>
      <c r="D405" s="622"/>
      <c r="E405" s="622"/>
      <c r="F405" s="622"/>
      <c r="G405" s="136"/>
      <c r="H405" s="622"/>
      <c r="I405" s="622"/>
      <c r="J405" s="622"/>
      <c r="K405" s="622"/>
      <c r="L405" s="624"/>
      <c r="M405" s="622"/>
      <c r="N405" s="136"/>
      <c r="O405" s="622"/>
      <c r="P405" s="624"/>
      <c r="Q405" s="353"/>
      <c r="R405" s="353"/>
      <c r="S405" s="130"/>
    </row>
    <row r="406" spans="1:19" s="133" customFormat="1" x14ac:dyDescent="0.25">
      <c r="A406" s="489"/>
      <c r="B406" s="489"/>
      <c r="D406" s="622"/>
      <c r="E406" s="622"/>
      <c r="F406" s="622"/>
      <c r="G406" s="136"/>
      <c r="H406" s="622"/>
      <c r="I406" s="622"/>
      <c r="J406" s="622"/>
      <c r="K406" s="622"/>
      <c r="L406" s="624"/>
      <c r="M406" s="622"/>
      <c r="N406" s="136"/>
      <c r="O406" s="622"/>
      <c r="P406" s="624"/>
      <c r="Q406" s="353"/>
      <c r="R406" s="353"/>
      <c r="S406" s="130"/>
    </row>
    <row r="407" spans="1:19" s="133" customFormat="1" x14ac:dyDescent="0.25">
      <c r="A407" s="489"/>
      <c r="B407" s="489"/>
      <c r="D407" s="622"/>
      <c r="E407" s="622"/>
      <c r="F407" s="622"/>
      <c r="G407" s="136"/>
      <c r="H407" s="622"/>
      <c r="I407" s="622"/>
      <c r="J407" s="622"/>
      <c r="K407" s="622"/>
      <c r="L407" s="624"/>
      <c r="M407" s="622"/>
      <c r="N407" s="136"/>
      <c r="O407" s="622"/>
      <c r="P407" s="624"/>
      <c r="Q407" s="353"/>
      <c r="R407" s="353"/>
      <c r="S407" s="130"/>
    </row>
    <row r="408" spans="1:19" s="133" customFormat="1" x14ac:dyDescent="0.25">
      <c r="A408" s="489"/>
      <c r="B408" s="489"/>
      <c r="D408" s="622"/>
      <c r="E408" s="622"/>
      <c r="F408" s="622"/>
      <c r="G408" s="136"/>
      <c r="H408" s="622"/>
      <c r="I408" s="622"/>
      <c r="J408" s="622"/>
      <c r="K408" s="622"/>
      <c r="L408" s="624"/>
      <c r="M408" s="622"/>
      <c r="N408" s="136"/>
      <c r="O408" s="622"/>
      <c r="P408" s="624"/>
      <c r="Q408" s="353"/>
      <c r="R408" s="353"/>
      <c r="S408" s="130"/>
    </row>
    <row r="409" spans="1:19" s="133" customFormat="1" x14ac:dyDescent="0.25">
      <c r="A409" s="489"/>
      <c r="B409" s="489"/>
      <c r="D409" s="622"/>
      <c r="E409" s="622"/>
      <c r="F409" s="622"/>
      <c r="G409" s="136"/>
      <c r="H409" s="622"/>
      <c r="I409" s="622"/>
      <c r="J409" s="622"/>
      <c r="K409" s="622"/>
      <c r="L409" s="624"/>
      <c r="M409" s="622"/>
      <c r="N409" s="136"/>
      <c r="O409" s="622"/>
      <c r="P409" s="624"/>
      <c r="Q409" s="353"/>
      <c r="R409" s="353"/>
      <c r="S409" s="130"/>
    </row>
    <row r="410" spans="1:19" s="133" customFormat="1" x14ac:dyDescent="0.25">
      <c r="A410" s="489"/>
      <c r="B410" s="489"/>
      <c r="D410" s="622"/>
      <c r="E410" s="622"/>
      <c r="F410" s="622"/>
      <c r="G410" s="136"/>
      <c r="H410" s="622"/>
      <c r="I410" s="622"/>
      <c r="J410" s="622"/>
      <c r="K410" s="622"/>
      <c r="L410" s="624"/>
      <c r="M410" s="622"/>
      <c r="N410" s="136"/>
      <c r="O410" s="622"/>
      <c r="P410" s="624"/>
      <c r="Q410" s="353"/>
      <c r="R410" s="353"/>
      <c r="S410" s="130"/>
    </row>
    <row r="411" spans="1:19" s="133" customFormat="1" x14ac:dyDescent="0.25">
      <c r="A411" s="489"/>
      <c r="B411" s="489"/>
      <c r="D411" s="622"/>
      <c r="E411" s="622"/>
      <c r="F411" s="622"/>
      <c r="G411" s="136"/>
      <c r="H411" s="622"/>
      <c r="I411" s="622"/>
      <c r="J411" s="622"/>
      <c r="K411" s="622"/>
      <c r="L411" s="624"/>
      <c r="M411" s="622"/>
      <c r="N411" s="136"/>
      <c r="O411" s="622"/>
      <c r="P411" s="624"/>
      <c r="Q411" s="353"/>
      <c r="R411" s="353"/>
      <c r="S411" s="130"/>
    </row>
    <row r="412" spans="1:19" s="133" customFormat="1" x14ac:dyDescent="0.25">
      <c r="A412" s="489"/>
      <c r="B412" s="489"/>
      <c r="D412" s="622"/>
      <c r="E412" s="622"/>
      <c r="F412" s="622"/>
      <c r="G412" s="136"/>
      <c r="H412" s="622"/>
      <c r="I412" s="622"/>
      <c r="J412" s="622"/>
      <c r="K412" s="622"/>
      <c r="L412" s="624"/>
      <c r="M412" s="622"/>
      <c r="N412" s="136"/>
      <c r="O412" s="622"/>
      <c r="P412" s="624"/>
      <c r="Q412" s="353"/>
      <c r="R412" s="353"/>
      <c r="S412" s="130"/>
    </row>
    <row r="413" spans="1:19" s="133" customFormat="1" x14ac:dyDescent="0.25">
      <c r="A413" s="489"/>
      <c r="B413" s="489"/>
      <c r="D413" s="622"/>
      <c r="E413" s="622"/>
      <c r="F413" s="622"/>
      <c r="G413" s="136"/>
      <c r="H413" s="622"/>
      <c r="I413" s="622"/>
      <c r="J413" s="622"/>
      <c r="K413" s="622"/>
      <c r="L413" s="624"/>
      <c r="M413" s="622"/>
      <c r="N413" s="136"/>
      <c r="O413" s="622"/>
      <c r="P413" s="624"/>
      <c r="Q413" s="353"/>
      <c r="R413" s="353"/>
      <c r="S413" s="130"/>
    </row>
    <row r="414" spans="1:19" s="133" customFormat="1" x14ac:dyDescent="0.25">
      <c r="A414" s="489"/>
      <c r="B414" s="489"/>
      <c r="D414" s="622"/>
      <c r="E414" s="622"/>
      <c r="F414" s="622"/>
      <c r="G414" s="136"/>
      <c r="H414" s="622"/>
      <c r="I414" s="622"/>
      <c r="J414" s="622"/>
      <c r="K414" s="622"/>
      <c r="L414" s="624"/>
      <c r="M414" s="622"/>
      <c r="N414" s="136"/>
      <c r="O414" s="622"/>
      <c r="P414" s="624"/>
      <c r="Q414" s="353"/>
      <c r="R414" s="353"/>
      <c r="S414" s="130"/>
    </row>
    <row r="415" spans="1:19" s="133" customFormat="1" x14ac:dyDescent="0.25">
      <c r="A415" s="489"/>
      <c r="B415" s="489"/>
      <c r="D415" s="622"/>
      <c r="E415" s="622"/>
      <c r="F415" s="622"/>
      <c r="G415" s="136"/>
      <c r="H415" s="622"/>
      <c r="I415" s="622"/>
      <c r="J415" s="622"/>
      <c r="K415" s="622"/>
      <c r="L415" s="624"/>
      <c r="M415" s="622"/>
      <c r="N415" s="136"/>
      <c r="O415" s="622"/>
      <c r="P415" s="624"/>
      <c r="Q415" s="353"/>
      <c r="R415" s="353"/>
      <c r="S415" s="130"/>
    </row>
    <row r="416" spans="1:19" s="133" customFormat="1" x14ac:dyDescent="0.25">
      <c r="A416" s="489"/>
      <c r="B416" s="489"/>
      <c r="D416" s="622"/>
      <c r="E416" s="622"/>
      <c r="F416" s="622"/>
      <c r="G416" s="136"/>
      <c r="H416" s="622"/>
      <c r="I416" s="622"/>
      <c r="J416" s="622"/>
      <c r="K416" s="622"/>
      <c r="L416" s="624"/>
      <c r="M416" s="622"/>
      <c r="N416" s="136"/>
      <c r="O416" s="622"/>
      <c r="P416" s="624"/>
      <c r="Q416" s="353"/>
      <c r="R416" s="353"/>
      <c r="S416" s="130"/>
    </row>
    <row r="417" spans="1:19" s="133" customFormat="1" x14ac:dyDescent="0.25">
      <c r="A417" s="489"/>
      <c r="B417" s="489"/>
      <c r="D417" s="622"/>
      <c r="E417" s="622"/>
      <c r="F417" s="622"/>
      <c r="G417" s="136"/>
      <c r="H417" s="622"/>
      <c r="I417" s="622"/>
      <c r="J417" s="622"/>
      <c r="K417" s="622"/>
      <c r="L417" s="624"/>
      <c r="M417" s="622"/>
      <c r="N417" s="136"/>
      <c r="O417" s="622"/>
      <c r="P417" s="624"/>
      <c r="Q417" s="353"/>
      <c r="R417" s="353"/>
      <c r="S417" s="130"/>
    </row>
    <row r="418" spans="1:19" s="133" customFormat="1" x14ac:dyDescent="0.25">
      <c r="A418" s="489"/>
      <c r="B418" s="489"/>
      <c r="D418" s="622"/>
      <c r="E418" s="622"/>
      <c r="F418" s="622"/>
      <c r="G418" s="136"/>
      <c r="H418" s="622"/>
      <c r="I418" s="622"/>
      <c r="J418" s="622"/>
      <c r="K418" s="622"/>
      <c r="L418" s="624"/>
      <c r="M418" s="622"/>
      <c r="N418" s="136"/>
      <c r="O418" s="622"/>
      <c r="P418" s="624"/>
      <c r="Q418" s="353"/>
      <c r="R418" s="353"/>
      <c r="S418" s="130"/>
    </row>
    <row r="419" spans="1:19" s="133" customFormat="1" x14ac:dyDescent="0.25">
      <c r="A419" s="489"/>
      <c r="B419" s="489"/>
      <c r="D419" s="622"/>
      <c r="E419" s="622"/>
      <c r="F419" s="622"/>
      <c r="G419" s="136"/>
      <c r="H419" s="622"/>
      <c r="I419" s="622"/>
      <c r="J419" s="622"/>
      <c r="K419" s="622"/>
      <c r="L419" s="624"/>
      <c r="M419" s="622"/>
      <c r="N419" s="136"/>
      <c r="O419" s="622"/>
      <c r="P419" s="624"/>
      <c r="Q419" s="353"/>
      <c r="R419" s="353"/>
      <c r="S419" s="130"/>
    </row>
    <row r="420" spans="1:19" s="133" customFormat="1" x14ac:dyDescent="0.25">
      <c r="A420" s="489"/>
      <c r="B420" s="489"/>
      <c r="D420" s="622"/>
      <c r="E420" s="622"/>
      <c r="F420" s="622"/>
      <c r="G420" s="136"/>
      <c r="H420" s="622"/>
      <c r="I420" s="622"/>
      <c r="J420" s="622"/>
      <c r="K420" s="622"/>
      <c r="L420" s="624"/>
      <c r="M420" s="622"/>
      <c r="N420" s="136"/>
      <c r="O420" s="622"/>
      <c r="P420" s="624"/>
      <c r="Q420" s="353"/>
      <c r="R420" s="353"/>
      <c r="S420" s="130"/>
    </row>
    <row r="421" spans="1:19" s="133" customFormat="1" x14ac:dyDescent="0.25">
      <c r="A421" s="489"/>
      <c r="B421" s="489"/>
      <c r="D421" s="622"/>
      <c r="E421" s="622"/>
      <c r="F421" s="622"/>
      <c r="G421" s="136"/>
      <c r="H421" s="622"/>
      <c r="I421" s="622"/>
      <c r="J421" s="622"/>
      <c r="K421" s="622"/>
      <c r="L421" s="624"/>
      <c r="M421" s="622"/>
      <c r="N421" s="136"/>
      <c r="O421" s="622"/>
      <c r="P421" s="624"/>
      <c r="Q421" s="353"/>
      <c r="R421" s="353"/>
      <c r="S421" s="130"/>
    </row>
    <row r="422" spans="1:19" s="133" customFormat="1" x14ac:dyDescent="0.25">
      <c r="A422" s="489"/>
      <c r="B422" s="489"/>
      <c r="D422" s="622"/>
      <c r="E422" s="622"/>
      <c r="F422" s="622"/>
      <c r="G422" s="136"/>
      <c r="H422" s="622"/>
      <c r="I422" s="622"/>
      <c r="J422" s="622"/>
      <c r="K422" s="622"/>
      <c r="L422" s="624"/>
      <c r="M422" s="622"/>
      <c r="N422" s="136"/>
      <c r="O422" s="622"/>
      <c r="P422" s="624"/>
      <c r="Q422" s="353"/>
      <c r="R422" s="353"/>
      <c r="S422" s="130"/>
    </row>
    <row r="423" spans="1:19" s="133" customFormat="1" x14ac:dyDescent="0.25">
      <c r="A423" s="489"/>
      <c r="B423" s="489"/>
      <c r="D423" s="622"/>
      <c r="E423" s="622"/>
      <c r="F423" s="622"/>
      <c r="G423" s="136"/>
      <c r="H423" s="622"/>
      <c r="I423" s="622"/>
      <c r="J423" s="622"/>
      <c r="K423" s="622"/>
      <c r="L423" s="624"/>
      <c r="M423" s="622"/>
      <c r="N423" s="136"/>
      <c r="O423" s="622"/>
      <c r="P423" s="624"/>
      <c r="Q423" s="353"/>
      <c r="R423" s="353"/>
      <c r="S423" s="130"/>
    </row>
    <row r="424" spans="1:19" s="133" customFormat="1" x14ac:dyDescent="0.25">
      <c r="A424" s="489"/>
      <c r="B424" s="489"/>
      <c r="D424" s="622"/>
      <c r="E424" s="622"/>
      <c r="F424" s="622"/>
      <c r="G424" s="136"/>
      <c r="H424" s="622"/>
      <c r="I424" s="622"/>
      <c r="J424" s="622"/>
      <c r="K424" s="622"/>
      <c r="L424" s="624"/>
      <c r="M424" s="622"/>
      <c r="N424" s="136"/>
      <c r="O424" s="622"/>
      <c r="P424" s="624"/>
      <c r="Q424" s="353"/>
      <c r="R424" s="353"/>
      <c r="S424" s="130"/>
    </row>
    <row r="425" spans="1:19" s="133" customFormat="1" x14ac:dyDescent="0.25">
      <c r="A425" s="489"/>
      <c r="B425" s="489"/>
      <c r="D425" s="622"/>
      <c r="E425" s="622"/>
      <c r="F425" s="622"/>
      <c r="G425" s="136"/>
      <c r="H425" s="622"/>
      <c r="I425" s="622"/>
      <c r="J425" s="622"/>
      <c r="K425" s="622"/>
      <c r="L425" s="624"/>
      <c r="M425" s="622"/>
      <c r="N425" s="136"/>
      <c r="O425" s="622"/>
      <c r="P425" s="624"/>
      <c r="Q425" s="353"/>
      <c r="R425" s="353"/>
      <c r="S425" s="130"/>
    </row>
    <row r="426" spans="1:19" s="133" customFormat="1" x14ac:dyDescent="0.25">
      <c r="A426" s="489"/>
      <c r="B426" s="489"/>
      <c r="D426" s="622"/>
      <c r="E426" s="622"/>
      <c r="F426" s="622"/>
      <c r="G426" s="136"/>
      <c r="H426" s="622"/>
      <c r="I426" s="622"/>
      <c r="J426" s="622"/>
      <c r="K426" s="622"/>
      <c r="L426" s="624"/>
      <c r="M426" s="622"/>
      <c r="N426" s="136"/>
      <c r="O426" s="622"/>
      <c r="P426" s="624"/>
      <c r="Q426" s="353"/>
      <c r="R426" s="353"/>
      <c r="S426" s="130"/>
    </row>
    <row r="427" spans="1:19" s="133" customFormat="1" x14ac:dyDescent="0.25">
      <c r="A427" s="489"/>
      <c r="B427" s="489"/>
      <c r="D427" s="622"/>
      <c r="E427" s="622"/>
      <c r="F427" s="622"/>
      <c r="G427" s="136"/>
      <c r="H427" s="622"/>
      <c r="I427" s="622"/>
      <c r="J427" s="622"/>
      <c r="K427" s="622"/>
      <c r="L427" s="624"/>
      <c r="M427" s="622"/>
      <c r="N427" s="136"/>
      <c r="O427" s="622"/>
      <c r="P427" s="624"/>
      <c r="Q427" s="353"/>
      <c r="R427" s="353"/>
      <c r="S427" s="130"/>
    </row>
    <row r="428" spans="1:19" s="133" customFormat="1" x14ac:dyDescent="0.25">
      <c r="A428" s="489"/>
      <c r="B428" s="489"/>
      <c r="D428" s="622"/>
      <c r="E428" s="622"/>
      <c r="F428" s="622"/>
      <c r="G428" s="136"/>
      <c r="H428" s="622"/>
      <c r="I428" s="622"/>
      <c r="J428" s="622"/>
      <c r="K428" s="622"/>
      <c r="L428" s="624"/>
      <c r="M428" s="622"/>
      <c r="N428" s="136"/>
      <c r="O428" s="622"/>
      <c r="P428" s="624"/>
      <c r="Q428" s="353"/>
      <c r="R428" s="353"/>
      <c r="S428" s="130"/>
    </row>
    <row r="429" spans="1:19" s="133" customFormat="1" x14ac:dyDescent="0.25">
      <c r="A429" s="489"/>
      <c r="B429" s="489"/>
      <c r="D429" s="622"/>
      <c r="E429" s="622"/>
      <c r="F429" s="622"/>
      <c r="G429" s="136"/>
      <c r="H429" s="622"/>
      <c r="I429" s="622"/>
      <c r="J429" s="622"/>
      <c r="K429" s="622"/>
      <c r="L429" s="624"/>
      <c r="M429" s="622"/>
      <c r="N429" s="136"/>
      <c r="O429" s="622"/>
      <c r="P429" s="624"/>
      <c r="Q429" s="353"/>
      <c r="R429" s="353"/>
      <c r="S429" s="130"/>
    </row>
    <row r="430" spans="1:19" s="133" customFormat="1" x14ac:dyDescent="0.25">
      <c r="A430" s="489"/>
      <c r="B430" s="489"/>
      <c r="D430" s="622"/>
      <c r="E430" s="622"/>
      <c r="F430" s="622"/>
      <c r="G430" s="136"/>
      <c r="H430" s="622"/>
      <c r="I430" s="622"/>
      <c r="J430" s="622"/>
      <c r="K430" s="622"/>
      <c r="L430" s="624"/>
      <c r="M430" s="622"/>
      <c r="N430" s="136"/>
      <c r="O430" s="622"/>
      <c r="P430" s="624"/>
      <c r="Q430" s="353"/>
      <c r="R430" s="353"/>
      <c r="S430" s="130"/>
    </row>
    <row r="431" spans="1:19" s="133" customFormat="1" x14ac:dyDescent="0.25">
      <c r="A431" s="489"/>
      <c r="B431" s="489"/>
      <c r="D431" s="622"/>
      <c r="E431" s="622"/>
      <c r="F431" s="622"/>
      <c r="G431" s="136"/>
      <c r="H431" s="622"/>
      <c r="I431" s="622"/>
      <c r="J431" s="622"/>
      <c r="K431" s="622"/>
      <c r="L431" s="624"/>
      <c r="M431" s="622"/>
      <c r="N431" s="136"/>
      <c r="O431" s="622"/>
      <c r="P431" s="624"/>
      <c r="Q431" s="353"/>
      <c r="R431" s="353"/>
      <c r="S431" s="130"/>
    </row>
    <row r="432" spans="1:19" s="133" customFormat="1" x14ac:dyDescent="0.25">
      <c r="A432" s="489"/>
      <c r="B432" s="489"/>
      <c r="D432" s="622"/>
      <c r="E432" s="622"/>
      <c r="F432" s="622"/>
      <c r="G432" s="136"/>
      <c r="H432" s="622"/>
      <c r="I432" s="622"/>
      <c r="J432" s="622"/>
      <c r="K432" s="622"/>
      <c r="L432" s="624"/>
      <c r="M432" s="622"/>
      <c r="N432" s="136"/>
      <c r="O432" s="622"/>
      <c r="P432" s="624"/>
      <c r="Q432" s="353"/>
      <c r="R432" s="353"/>
      <c r="S432" s="130"/>
    </row>
    <row r="433" spans="1:19" s="133" customFormat="1" x14ac:dyDescent="0.25">
      <c r="A433" s="489"/>
      <c r="B433" s="489"/>
      <c r="D433" s="622"/>
      <c r="E433" s="622"/>
      <c r="F433" s="622"/>
      <c r="G433" s="136"/>
      <c r="H433" s="622"/>
      <c r="I433" s="622"/>
      <c r="J433" s="622"/>
      <c r="K433" s="622"/>
      <c r="L433" s="624"/>
      <c r="M433" s="622"/>
      <c r="N433" s="136"/>
      <c r="O433" s="622"/>
      <c r="P433" s="624"/>
      <c r="Q433" s="353"/>
      <c r="R433" s="353"/>
      <c r="S433" s="130"/>
    </row>
    <row r="434" spans="1:19" s="133" customFormat="1" x14ac:dyDescent="0.25">
      <c r="A434" s="489"/>
      <c r="B434" s="489"/>
      <c r="D434" s="622"/>
      <c r="E434" s="622"/>
      <c r="F434" s="622"/>
      <c r="G434" s="136"/>
      <c r="H434" s="622"/>
      <c r="I434" s="622"/>
      <c r="J434" s="622"/>
      <c r="K434" s="622"/>
      <c r="L434" s="624"/>
      <c r="M434" s="622"/>
      <c r="N434" s="136"/>
      <c r="O434" s="622"/>
      <c r="P434" s="624"/>
      <c r="Q434" s="353"/>
      <c r="R434" s="353"/>
      <c r="S434" s="130"/>
    </row>
    <row r="435" spans="1:19" s="133" customFormat="1" x14ac:dyDescent="0.25">
      <c r="A435" s="489"/>
      <c r="B435" s="489"/>
      <c r="D435" s="622"/>
      <c r="E435" s="622"/>
      <c r="F435" s="622"/>
      <c r="G435" s="136"/>
      <c r="H435" s="622"/>
      <c r="I435" s="622"/>
      <c r="J435" s="622"/>
      <c r="K435" s="622"/>
      <c r="L435" s="624"/>
      <c r="M435" s="622"/>
      <c r="N435" s="136"/>
      <c r="O435" s="622"/>
      <c r="P435" s="624"/>
      <c r="Q435" s="353"/>
      <c r="R435" s="353"/>
      <c r="S435" s="130"/>
    </row>
    <row r="436" spans="1:19" s="133" customFormat="1" x14ac:dyDescent="0.25">
      <c r="A436" s="489"/>
      <c r="B436" s="489"/>
      <c r="D436" s="622"/>
      <c r="E436" s="622"/>
      <c r="F436" s="622"/>
      <c r="G436" s="136"/>
      <c r="H436" s="622"/>
      <c r="I436" s="622"/>
      <c r="J436" s="622"/>
      <c r="K436" s="622"/>
      <c r="L436" s="624"/>
      <c r="M436" s="622"/>
      <c r="N436" s="136"/>
      <c r="O436" s="622"/>
      <c r="P436" s="624"/>
      <c r="Q436" s="353"/>
      <c r="R436" s="353"/>
      <c r="S436" s="130"/>
    </row>
    <row r="437" spans="1:19" s="133" customFormat="1" x14ac:dyDescent="0.25">
      <c r="A437" s="489"/>
      <c r="B437" s="489"/>
      <c r="D437" s="622"/>
      <c r="E437" s="622"/>
      <c r="F437" s="622"/>
      <c r="G437" s="136"/>
      <c r="H437" s="622"/>
      <c r="I437" s="622"/>
      <c r="J437" s="622"/>
      <c r="K437" s="622"/>
      <c r="L437" s="624"/>
      <c r="M437" s="622"/>
      <c r="N437" s="136"/>
      <c r="O437" s="622"/>
      <c r="P437" s="624"/>
      <c r="Q437" s="353"/>
      <c r="R437" s="353"/>
      <c r="S437" s="130"/>
    </row>
    <row r="438" spans="1:19" s="133" customFormat="1" x14ac:dyDescent="0.25">
      <c r="A438" s="489"/>
      <c r="B438" s="489"/>
      <c r="D438" s="622"/>
      <c r="E438" s="622"/>
      <c r="F438" s="622"/>
      <c r="G438" s="136"/>
      <c r="H438" s="622"/>
      <c r="I438" s="622"/>
      <c r="J438" s="622"/>
      <c r="K438" s="622"/>
      <c r="L438" s="624"/>
      <c r="M438" s="622"/>
      <c r="N438" s="136"/>
      <c r="O438" s="622"/>
      <c r="P438" s="624"/>
      <c r="Q438" s="353"/>
      <c r="R438" s="353"/>
      <c r="S438" s="130"/>
    </row>
    <row r="439" spans="1:19" s="133" customFormat="1" x14ac:dyDescent="0.25">
      <c r="A439" s="489"/>
      <c r="B439" s="489"/>
      <c r="D439" s="622"/>
      <c r="E439" s="622"/>
      <c r="F439" s="622"/>
      <c r="G439" s="136"/>
      <c r="H439" s="622"/>
      <c r="I439" s="622"/>
      <c r="J439" s="622"/>
      <c r="K439" s="622"/>
      <c r="L439" s="624"/>
      <c r="M439" s="622"/>
      <c r="N439" s="136"/>
      <c r="O439" s="622"/>
      <c r="P439" s="624"/>
      <c r="Q439" s="353"/>
      <c r="R439" s="353"/>
      <c r="S439" s="130"/>
    </row>
    <row r="440" spans="1:19" s="133" customFormat="1" x14ac:dyDescent="0.25">
      <c r="A440" s="489"/>
      <c r="B440" s="489"/>
      <c r="D440" s="622"/>
      <c r="E440" s="622"/>
      <c r="F440" s="622"/>
      <c r="G440" s="136"/>
      <c r="H440" s="622"/>
      <c r="I440" s="622"/>
      <c r="J440" s="622"/>
      <c r="K440" s="622"/>
      <c r="L440" s="624"/>
      <c r="M440" s="622"/>
      <c r="N440" s="136"/>
      <c r="O440" s="622"/>
      <c r="P440" s="624"/>
      <c r="Q440" s="353"/>
      <c r="R440" s="353"/>
      <c r="S440" s="130"/>
    </row>
    <row r="441" spans="1:19" s="133" customFormat="1" x14ac:dyDescent="0.25">
      <c r="A441" s="489"/>
      <c r="B441" s="489"/>
      <c r="D441" s="622"/>
      <c r="E441" s="622"/>
      <c r="F441" s="622"/>
      <c r="G441" s="136"/>
      <c r="H441" s="622"/>
      <c r="I441" s="622"/>
      <c r="J441" s="622"/>
      <c r="K441" s="622"/>
      <c r="L441" s="624"/>
      <c r="M441" s="622"/>
      <c r="N441" s="136"/>
      <c r="O441" s="622"/>
      <c r="P441" s="624"/>
      <c r="Q441" s="353"/>
      <c r="R441" s="353"/>
      <c r="S441" s="130"/>
    </row>
    <row r="442" spans="1:19" s="133" customFormat="1" x14ac:dyDescent="0.25">
      <c r="A442" s="489"/>
      <c r="B442" s="489"/>
      <c r="D442" s="622"/>
      <c r="E442" s="622"/>
      <c r="F442" s="622"/>
      <c r="G442" s="136"/>
      <c r="H442" s="622"/>
      <c r="I442" s="622"/>
      <c r="J442" s="622"/>
      <c r="K442" s="622"/>
      <c r="L442" s="624"/>
      <c r="M442" s="622"/>
      <c r="N442" s="136"/>
      <c r="O442" s="622"/>
      <c r="P442" s="624"/>
      <c r="Q442" s="353"/>
      <c r="R442" s="353"/>
      <c r="S442" s="130"/>
    </row>
    <row r="443" spans="1:19" s="133" customFormat="1" x14ac:dyDescent="0.25">
      <c r="A443" s="489"/>
      <c r="B443" s="489"/>
      <c r="D443" s="622"/>
      <c r="E443" s="622"/>
      <c r="F443" s="622"/>
      <c r="G443" s="136"/>
      <c r="H443" s="622"/>
      <c r="I443" s="622"/>
      <c r="J443" s="622"/>
      <c r="K443" s="622"/>
      <c r="L443" s="624"/>
      <c r="M443" s="622"/>
      <c r="N443" s="136"/>
      <c r="O443" s="622"/>
      <c r="P443" s="624"/>
      <c r="Q443" s="353"/>
      <c r="R443" s="353"/>
      <c r="S443" s="130"/>
    </row>
    <row r="444" spans="1:19" s="133" customFormat="1" x14ac:dyDescent="0.25">
      <c r="A444" s="489"/>
      <c r="B444" s="489"/>
      <c r="D444" s="622"/>
      <c r="E444" s="622"/>
      <c r="F444" s="622"/>
      <c r="G444" s="136"/>
      <c r="H444" s="622"/>
      <c r="I444" s="622"/>
      <c r="J444" s="622"/>
      <c r="K444" s="622"/>
      <c r="L444" s="624"/>
      <c r="M444" s="622"/>
      <c r="N444" s="136"/>
      <c r="O444" s="622"/>
      <c r="P444" s="624"/>
      <c r="Q444" s="353"/>
      <c r="R444" s="353"/>
      <c r="S444" s="130"/>
    </row>
    <row r="445" spans="1:19" s="133" customFormat="1" x14ac:dyDescent="0.25">
      <c r="A445" s="489"/>
      <c r="B445" s="489"/>
      <c r="D445" s="622"/>
      <c r="E445" s="622"/>
      <c r="F445" s="622"/>
      <c r="G445" s="136"/>
      <c r="H445" s="622"/>
      <c r="I445" s="622"/>
      <c r="J445" s="622"/>
      <c r="K445" s="622"/>
      <c r="L445" s="624"/>
      <c r="M445" s="622"/>
      <c r="N445" s="136"/>
      <c r="O445" s="622"/>
      <c r="P445" s="624"/>
      <c r="Q445" s="353"/>
      <c r="R445" s="353"/>
      <c r="S445" s="130"/>
    </row>
    <row r="446" spans="1:19" s="133" customFormat="1" x14ac:dyDescent="0.25">
      <c r="A446" s="489"/>
      <c r="B446" s="489"/>
      <c r="D446" s="622"/>
      <c r="E446" s="622"/>
      <c r="F446" s="622"/>
      <c r="G446" s="136"/>
      <c r="H446" s="622"/>
      <c r="I446" s="622"/>
      <c r="J446" s="622"/>
      <c r="K446" s="622"/>
      <c r="L446" s="624"/>
      <c r="M446" s="622"/>
      <c r="N446" s="136"/>
      <c r="O446" s="622"/>
      <c r="P446" s="624"/>
      <c r="Q446" s="353"/>
      <c r="R446" s="353"/>
      <c r="S446" s="130"/>
    </row>
    <row r="447" spans="1:19" s="133" customFormat="1" x14ac:dyDescent="0.25">
      <c r="A447" s="489"/>
      <c r="B447" s="489"/>
      <c r="D447" s="622"/>
      <c r="E447" s="622"/>
      <c r="F447" s="622"/>
      <c r="G447" s="136"/>
      <c r="H447" s="622"/>
      <c r="I447" s="622"/>
      <c r="J447" s="622"/>
      <c r="K447" s="622"/>
      <c r="L447" s="624"/>
      <c r="M447" s="622"/>
      <c r="N447" s="136"/>
      <c r="O447" s="622"/>
      <c r="P447" s="624"/>
      <c r="Q447" s="353"/>
      <c r="R447" s="353"/>
      <c r="S447" s="130"/>
    </row>
    <row r="448" spans="1:19" s="133" customFormat="1" x14ac:dyDescent="0.25">
      <c r="A448" s="489"/>
      <c r="B448" s="489"/>
      <c r="D448" s="622"/>
      <c r="E448" s="622"/>
      <c r="F448" s="622"/>
      <c r="G448" s="136"/>
      <c r="H448" s="622"/>
      <c r="I448" s="622"/>
      <c r="J448" s="622"/>
      <c r="K448" s="622"/>
      <c r="L448" s="624"/>
      <c r="M448" s="622"/>
      <c r="N448" s="136"/>
      <c r="O448" s="622"/>
      <c r="P448" s="624"/>
      <c r="Q448" s="353"/>
      <c r="R448" s="353"/>
      <c r="S448" s="130"/>
    </row>
    <row r="449" spans="1:19" s="133" customFormat="1" x14ac:dyDescent="0.25">
      <c r="A449" s="489"/>
      <c r="B449" s="489"/>
      <c r="D449" s="622"/>
      <c r="E449" s="622"/>
      <c r="F449" s="622"/>
      <c r="G449" s="136"/>
      <c r="H449" s="622"/>
      <c r="I449" s="622"/>
      <c r="J449" s="622"/>
      <c r="K449" s="622"/>
      <c r="L449" s="624"/>
      <c r="M449" s="622"/>
      <c r="N449" s="136"/>
      <c r="O449" s="622"/>
      <c r="P449" s="624"/>
      <c r="Q449" s="353"/>
      <c r="R449" s="353"/>
      <c r="S449" s="130"/>
    </row>
    <row r="450" spans="1:19" s="133" customFormat="1" x14ac:dyDescent="0.25">
      <c r="A450" s="489"/>
      <c r="B450" s="489"/>
      <c r="D450" s="622"/>
      <c r="E450" s="622"/>
      <c r="F450" s="622"/>
      <c r="G450" s="136"/>
      <c r="H450" s="622"/>
      <c r="I450" s="622"/>
      <c r="J450" s="622"/>
      <c r="K450" s="622"/>
      <c r="L450" s="624"/>
      <c r="M450" s="622"/>
      <c r="N450" s="136"/>
      <c r="O450" s="622"/>
      <c r="P450" s="624"/>
      <c r="Q450" s="353"/>
      <c r="R450" s="353"/>
      <c r="S450" s="130"/>
    </row>
    <row r="451" spans="1:19" s="133" customFormat="1" x14ac:dyDescent="0.25">
      <c r="A451" s="489"/>
      <c r="B451" s="489"/>
      <c r="D451" s="622"/>
      <c r="E451" s="622"/>
      <c r="F451" s="622"/>
      <c r="G451" s="136"/>
      <c r="H451" s="622"/>
      <c r="I451" s="622"/>
      <c r="J451" s="622"/>
      <c r="K451" s="622"/>
      <c r="L451" s="624"/>
      <c r="M451" s="622"/>
      <c r="N451" s="136"/>
      <c r="O451" s="622"/>
      <c r="P451" s="624"/>
      <c r="Q451" s="353"/>
      <c r="R451" s="353"/>
      <c r="S451" s="130"/>
    </row>
    <row r="452" spans="1:19" s="133" customFormat="1" x14ac:dyDescent="0.25">
      <c r="A452" s="489"/>
      <c r="B452" s="489"/>
      <c r="D452" s="622"/>
      <c r="E452" s="622"/>
      <c r="F452" s="622"/>
      <c r="G452" s="136"/>
      <c r="H452" s="622"/>
      <c r="I452" s="622"/>
      <c r="J452" s="622"/>
      <c r="K452" s="622"/>
      <c r="L452" s="624"/>
      <c r="M452" s="622"/>
      <c r="N452" s="136"/>
      <c r="O452" s="622"/>
      <c r="P452" s="624"/>
      <c r="Q452" s="353"/>
      <c r="R452" s="353"/>
      <c r="S452" s="130"/>
    </row>
    <row r="453" spans="1:19" s="133" customFormat="1" x14ac:dyDescent="0.25">
      <c r="A453" s="489"/>
      <c r="B453" s="489"/>
      <c r="D453" s="622"/>
      <c r="E453" s="622"/>
      <c r="F453" s="622"/>
      <c r="G453" s="136"/>
      <c r="H453" s="622"/>
      <c r="I453" s="622"/>
      <c r="J453" s="622"/>
      <c r="K453" s="622"/>
      <c r="L453" s="624"/>
      <c r="M453" s="622"/>
      <c r="N453" s="136"/>
      <c r="O453" s="622"/>
      <c r="P453" s="624"/>
      <c r="Q453" s="353"/>
      <c r="R453" s="353"/>
      <c r="S453" s="130"/>
    </row>
    <row r="454" spans="1:19" s="133" customFormat="1" x14ac:dyDescent="0.25">
      <c r="A454" s="489"/>
      <c r="B454" s="489"/>
      <c r="D454" s="622"/>
      <c r="E454" s="622"/>
      <c r="F454" s="622"/>
      <c r="G454" s="136"/>
      <c r="H454" s="622"/>
      <c r="I454" s="622"/>
      <c r="J454" s="622"/>
      <c r="K454" s="622"/>
      <c r="L454" s="624"/>
      <c r="M454" s="622"/>
      <c r="N454" s="136"/>
      <c r="O454" s="622"/>
      <c r="P454" s="624"/>
      <c r="Q454" s="353"/>
      <c r="R454" s="353"/>
      <c r="S454" s="130"/>
    </row>
    <row r="455" spans="1:19" s="133" customFormat="1" x14ac:dyDescent="0.25">
      <c r="A455" s="489"/>
      <c r="B455" s="489"/>
      <c r="D455" s="622"/>
      <c r="E455" s="622"/>
      <c r="F455" s="622"/>
      <c r="G455" s="136"/>
      <c r="H455" s="622"/>
      <c r="I455" s="622"/>
      <c r="J455" s="622"/>
      <c r="K455" s="622"/>
      <c r="L455" s="624"/>
      <c r="M455" s="622"/>
      <c r="N455" s="136"/>
      <c r="O455" s="622"/>
      <c r="P455" s="624"/>
      <c r="Q455" s="353"/>
      <c r="R455" s="353"/>
      <c r="S455" s="130"/>
    </row>
    <row r="456" spans="1:19" s="133" customFormat="1" x14ac:dyDescent="0.25">
      <c r="A456" s="489"/>
      <c r="B456" s="489"/>
      <c r="D456" s="622"/>
      <c r="E456" s="622"/>
      <c r="F456" s="622"/>
      <c r="G456" s="136"/>
      <c r="H456" s="622"/>
      <c r="I456" s="622"/>
      <c r="J456" s="622"/>
      <c r="K456" s="622"/>
      <c r="L456" s="624"/>
      <c r="M456" s="622"/>
      <c r="N456" s="136"/>
      <c r="O456" s="622"/>
      <c r="P456" s="624"/>
      <c r="Q456" s="353"/>
      <c r="R456" s="353"/>
      <c r="S456" s="130"/>
    </row>
    <row r="457" spans="1:19" s="133" customFormat="1" x14ac:dyDescent="0.25">
      <c r="A457" s="489"/>
      <c r="B457" s="489"/>
      <c r="D457" s="622"/>
      <c r="E457" s="622"/>
      <c r="F457" s="622"/>
      <c r="G457" s="136"/>
      <c r="H457" s="622"/>
      <c r="I457" s="622"/>
      <c r="J457" s="622"/>
      <c r="K457" s="622"/>
      <c r="L457" s="624"/>
      <c r="M457" s="622"/>
      <c r="N457" s="136"/>
      <c r="O457" s="622"/>
      <c r="P457" s="624"/>
      <c r="Q457" s="353"/>
      <c r="R457" s="353"/>
      <c r="S457" s="130"/>
    </row>
    <row r="458" spans="1:19" s="133" customFormat="1" x14ac:dyDescent="0.25">
      <c r="A458" s="489"/>
      <c r="B458" s="489"/>
      <c r="D458" s="622"/>
      <c r="E458" s="622"/>
      <c r="F458" s="622"/>
      <c r="G458" s="136"/>
      <c r="H458" s="622"/>
      <c r="I458" s="622"/>
      <c r="J458" s="622"/>
      <c r="K458" s="622"/>
      <c r="L458" s="624"/>
      <c r="M458" s="622"/>
      <c r="N458" s="136"/>
      <c r="O458" s="622"/>
      <c r="P458" s="624"/>
      <c r="Q458" s="353"/>
      <c r="R458" s="353"/>
      <c r="S458" s="130"/>
    </row>
    <row r="459" spans="1:19" s="133" customFormat="1" x14ac:dyDescent="0.25">
      <c r="A459" s="489"/>
      <c r="B459" s="489"/>
      <c r="D459" s="622"/>
      <c r="E459" s="622"/>
      <c r="F459" s="622"/>
      <c r="G459" s="136"/>
      <c r="H459" s="622"/>
      <c r="I459" s="622"/>
      <c r="J459" s="622"/>
      <c r="K459" s="622"/>
      <c r="L459" s="624"/>
      <c r="M459" s="622"/>
      <c r="N459" s="136"/>
      <c r="O459" s="622"/>
      <c r="P459" s="624"/>
      <c r="Q459" s="353"/>
      <c r="R459" s="353"/>
      <c r="S459" s="130"/>
    </row>
    <row r="460" spans="1:19" s="133" customFormat="1" x14ac:dyDescent="0.25">
      <c r="A460" s="489"/>
      <c r="B460" s="489"/>
      <c r="D460" s="622"/>
      <c r="E460" s="622"/>
      <c r="F460" s="622"/>
      <c r="G460" s="136"/>
      <c r="H460" s="622"/>
      <c r="I460" s="622"/>
      <c r="J460" s="622"/>
      <c r="K460" s="622"/>
      <c r="L460" s="624"/>
      <c r="M460" s="622"/>
      <c r="N460" s="136"/>
      <c r="O460" s="622"/>
      <c r="P460" s="624"/>
      <c r="Q460" s="353"/>
      <c r="R460" s="353"/>
      <c r="S460" s="130"/>
    </row>
    <row r="461" spans="1:19" s="133" customFormat="1" x14ac:dyDescent="0.25">
      <c r="A461" s="489"/>
      <c r="B461" s="489"/>
      <c r="D461" s="622"/>
      <c r="E461" s="622"/>
      <c r="F461" s="622"/>
      <c r="G461" s="136"/>
      <c r="H461" s="622"/>
      <c r="I461" s="622"/>
      <c r="J461" s="622"/>
      <c r="K461" s="622"/>
      <c r="L461" s="624"/>
      <c r="M461" s="622"/>
      <c r="N461" s="136"/>
      <c r="O461" s="622"/>
      <c r="P461" s="624"/>
      <c r="Q461" s="353"/>
      <c r="R461" s="353"/>
      <c r="S461" s="130"/>
    </row>
    <row r="462" spans="1:19" s="133" customFormat="1" x14ac:dyDescent="0.25">
      <c r="A462" s="489"/>
      <c r="B462" s="489"/>
      <c r="D462" s="622"/>
      <c r="E462" s="622"/>
      <c r="F462" s="622"/>
      <c r="G462" s="136"/>
      <c r="H462" s="622"/>
      <c r="I462" s="622"/>
      <c r="J462" s="622"/>
      <c r="K462" s="622"/>
      <c r="L462" s="624"/>
      <c r="M462" s="622"/>
      <c r="N462" s="136"/>
      <c r="O462" s="622"/>
      <c r="P462" s="624"/>
      <c r="Q462" s="353"/>
      <c r="R462" s="353"/>
      <c r="S462" s="130"/>
    </row>
    <row r="463" spans="1:19" s="133" customFormat="1" x14ac:dyDescent="0.25">
      <c r="A463" s="489"/>
      <c r="B463" s="489"/>
      <c r="D463" s="622"/>
      <c r="E463" s="622"/>
      <c r="F463" s="622"/>
      <c r="G463" s="136"/>
      <c r="H463" s="622"/>
      <c r="I463" s="622"/>
      <c r="J463" s="622"/>
      <c r="K463" s="622"/>
      <c r="L463" s="624"/>
      <c r="M463" s="622"/>
      <c r="N463" s="136"/>
      <c r="O463" s="622"/>
      <c r="P463" s="624"/>
      <c r="Q463" s="353"/>
      <c r="R463" s="353"/>
      <c r="S463" s="130"/>
    </row>
    <row r="464" spans="1:19" s="133" customFormat="1" x14ac:dyDescent="0.25">
      <c r="A464" s="489"/>
      <c r="B464" s="489"/>
      <c r="D464" s="622"/>
      <c r="E464" s="622"/>
      <c r="F464" s="622"/>
      <c r="G464" s="136"/>
      <c r="H464" s="622"/>
      <c r="I464" s="622"/>
      <c r="J464" s="622"/>
      <c r="K464" s="622"/>
      <c r="L464" s="624"/>
      <c r="M464" s="622"/>
      <c r="N464" s="136"/>
      <c r="O464" s="622"/>
      <c r="P464" s="624"/>
      <c r="Q464" s="353"/>
      <c r="R464" s="353"/>
      <c r="S464" s="130"/>
    </row>
    <row r="465" spans="1:19" s="133" customFormat="1" x14ac:dyDescent="0.25">
      <c r="A465" s="489"/>
      <c r="B465" s="489"/>
      <c r="D465" s="622"/>
      <c r="E465" s="622"/>
      <c r="F465" s="622"/>
      <c r="G465" s="136"/>
      <c r="H465" s="622"/>
      <c r="I465" s="622"/>
      <c r="J465" s="622"/>
      <c r="K465" s="622"/>
      <c r="L465" s="624"/>
      <c r="M465" s="622"/>
      <c r="N465" s="136"/>
      <c r="O465" s="622"/>
      <c r="P465" s="624"/>
      <c r="Q465" s="353"/>
      <c r="R465" s="353"/>
      <c r="S465" s="130"/>
    </row>
    <row r="466" spans="1:19" s="133" customFormat="1" x14ac:dyDescent="0.25">
      <c r="A466" s="489"/>
      <c r="B466" s="489"/>
      <c r="D466" s="622"/>
      <c r="E466" s="622"/>
      <c r="F466" s="622"/>
      <c r="G466" s="136"/>
      <c r="H466" s="622"/>
      <c r="I466" s="622"/>
      <c r="J466" s="622"/>
      <c r="K466" s="622"/>
      <c r="L466" s="624"/>
      <c r="M466" s="622"/>
      <c r="N466" s="136"/>
      <c r="O466" s="622"/>
      <c r="P466" s="624"/>
      <c r="Q466" s="353"/>
      <c r="R466" s="353"/>
      <c r="S466" s="130"/>
    </row>
    <row r="467" spans="1:19" s="133" customFormat="1" x14ac:dyDescent="0.25">
      <c r="A467" s="489"/>
      <c r="B467" s="489"/>
      <c r="D467" s="622"/>
      <c r="E467" s="622"/>
      <c r="F467" s="622"/>
      <c r="G467" s="136"/>
      <c r="H467" s="622"/>
      <c r="I467" s="622"/>
      <c r="J467" s="622"/>
      <c r="K467" s="622"/>
      <c r="L467" s="624"/>
      <c r="M467" s="622"/>
      <c r="N467" s="136"/>
      <c r="O467" s="622"/>
      <c r="P467" s="624"/>
      <c r="Q467" s="353"/>
      <c r="R467" s="353"/>
      <c r="S467" s="130"/>
    </row>
    <row r="468" spans="1:19" s="133" customFormat="1" x14ac:dyDescent="0.25">
      <c r="A468" s="489"/>
      <c r="B468" s="489"/>
      <c r="D468" s="622"/>
      <c r="E468" s="622"/>
      <c r="F468" s="622"/>
      <c r="G468" s="136"/>
      <c r="H468" s="622"/>
      <c r="I468" s="622"/>
      <c r="J468" s="622"/>
      <c r="K468" s="622"/>
      <c r="L468" s="624"/>
      <c r="M468" s="622"/>
      <c r="N468" s="136"/>
      <c r="O468" s="622"/>
      <c r="P468" s="624"/>
      <c r="Q468" s="353"/>
      <c r="R468" s="353"/>
      <c r="S468" s="130"/>
    </row>
    <row r="469" spans="1:19" s="133" customFormat="1" x14ac:dyDescent="0.25">
      <c r="A469" s="489"/>
      <c r="B469" s="489"/>
      <c r="D469" s="622"/>
      <c r="E469" s="622"/>
      <c r="F469" s="622"/>
      <c r="G469" s="136"/>
      <c r="H469" s="622"/>
      <c r="I469" s="622"/>
      <c r="J469" s="622"/>
      <c r="K469" s="622"/>
      <c r="L469" s="624"/>
      <c r="M469" s="622"/>
      <c r="N469" s="136"/>
      <c r="O469" s="622"/>
      <c r="P469" s="624"/>
      <c r="Q469" s="353"/>
      <c r="R469" s="353"/>
      <c r="S469" s="130"/>
    </row>
    <row r="470" spans="1:19" s="133" customFormat="1" x14ac:dyDescent="0.25">
      <c r="A470" s="489"/>
      <c r="B470" s="489"/>
      <c r="D470" s="622"/>
      <c r="E470" s="622"/>
      <c r="F470" s="622"/>
      <c r="G470" s="136"/>
      <c r="H470" s="622"/>
      <c r="I470" s="622"/>
      <c r="J470" s="622"/>
      <c r="K470" s="622"/>
      <c r="L470" s="624"/>
      <c r="M470" s="622"/>
      <c r="N470" s="136"/>
      <c r="O470" s="622"/>
      <c r="P470" s="624"/>
      <c r="Q470" s="353"/>
      <c r="R470" s="353"/>
      <c r="S470" s="130"/>
    </row>
    <row r="471" spans="1:19" s="133" customFormat="1" x14ac:dyDescent="0.25">
      <c r="A471" s="489"/>
      <c r="B471" s="489"/>
      <c r="D471" s="622"/>
      <c r="E471" s="622"/>
      <c r="F471" s="622"/>
      <c r="G471" s="136"/>
      <c r="H471" s="622"/>
      <c r="I471" s="622"/>
      <c r="J471" s="622"/>
      <c r="K471" s="622"/>
      <c r="L471" s="624"/>
      <c r="M471" s="622"/>
      <c r="N471" s="136"/>
      <c r="O471" s="622"/>
      <c r="P471" s="624"/>
      <c r="Q471" s="353"/>
      <c r="R471" s="353"/>
      <c r="S471" s="130"/>
    </row>
    <row r="472" spans="1:19" s="133" customFormat="1" x14ac:dyDescent="0.25">
      <c r="A472" s="489"/>
      <c r="B472" s="489"/>
      <c r="D472" s="622"/>
      <c r="E472" s="622"/>
      <c r="F472" s="622"/>
      <c r="G472" s="136"/>
      <c r="H472" s="622"/>
      <c r="I472" s="622"/>
      <c r="J472" s="622"/>
      <c r="K472" s="622"/>
      <c r="L472" s="624"/>
      <c r="M472" s="622"/>
      <c r="N472" s="136"/>
      <c r="O472" s="622"/>
      <c r="P472" s="624"/>
      <c r="Q472" s="353"/>
      <c r="R472" s="353"/>
      <c r="S472" s="130"/>
    </row>
    <row r="473" spans="1:19" s="133" customFormat="1" x14ac:dyDescent="0.25">
      <c r="A473" s="489"/>
      <c r="B473" s="489"/>
      <c r="D473" s="622"/>
      <c r="E473" s="622"/>
      <c r="F473" s="622"/>
      <c r="G473" s="136"/>
      <c r="H473" s="622"/>
      <c r="I473" s="622"/>
      <c r="J473" s="622"/>
      <c r="K473" s="622"/>
      <c r="L473" s="624"/>
      <c r="M473" s="622"/>
      <c r="N473" s="136"/>
      <c r="O473" s="622"/>
      <c r="P473" s="624"/>
      <c r="Q473" s="353"/>
      <c r="R473" s="353"/>
      <c r="S473" s="130"/>
    </row>
    <row r="474" spans="1:19" s="133" customFormat="1" x14ac:dyDescent="0.25">
      <c r="A474" s="489"/>
      <c r="B474" s="489"/>
      <c r="D474" s="622"/>
      <c r="E474" s="622"/>
      <c r="F474" s="622"/>
      <c r="G474" s="136"/>
      <c r="H474" s="622"/>
      <c r="I474" s="622"/>
      <c r="J474" s="622"/>
      <c r="K474" s="622"/>
      <c r="L474" s="624"/>
      <c r="M474" s="622"/>
      <c r="N474" s="136"/>
      <c r="O474" s="622"/>
      <c r="P474" s="624"/>
      <c r="Q474" s="353"/>
      <c r="R474" s="353"/>
      <c r="S474" s="130"/>
    </row>
    <row r="475" spans="1:19" s="133" customFormat="1" x14ac:dyDescent="0.25">
      <c r="A475" s="489"/>
      <c r="B475" s="489"/>
      <c r="D475" s="622"/>
      <c r="E475" s="622"/>
      <c r="F475" s="622"/>
      <c r="G475" s="136"/>
      <c r="H475" s="622"/>
      <c r="I475" s="622"/>
      <c r="J475" s="622"/>
      <c r="K475" s="622"/>
      <c r="L475" s="624"/>
      <c r="M475" s="622"/>
      <c r="N475" s="136"/>
      <c r="O475" s="622"/>
      <c r="P475" s="624"/>
      <c r="Q475" s="353"/>
      <c r="R475" s="353"/>
      <c r="S475" s="130"/>
    </row>
    <row r="476" spans="1:19" s="133" customFormat="1" x14ac:dyDescent="0.25">
      <c r="A476" s="489"/>
      <c r="B476" s="489"/>
      <c r="D476" s="622"/>
      <c r="E476" s="622"/>
      <c r="F476" s="622"/>
      <c r="G476" s="136"/>
      <c r="H476" s="622"/>
      <c r="I476" s="622"/>
      <c r="J476" s="622"/>
      <c r="K476" s="622"/>
      <c r="L476" s="624"/>
      <c r="M476" s="622"/>
      <c r="N476" s="136"/>
      <c r="O476" s="622"/>
      <c r="P476" s="624"/>
      <c r="Q476" s="353"/>
      <c r="R476" s="353"/>
      <c r="S476" s="130"/>
    </row>
    <row r="477" spans="1:19" s="133" customFormat="1" x14ac:dyDescent="0.25">
      <c r="A477" s="489"/>
      <c r="B477" s="489"/>
      <c r="D477" s="622"/>
      <c r="E477" s="622"/>
      <c r="F477" s="622"/>
      <c r="G477" s="136"/>
      <c r="H477" s="622"/>
      <c r="I477" s="622"/>
      <c r="J477" s="622"/>
      <c r="K477" s="622"/>
      <c r="L477" s="624"/>
      <c r="M477" s="622"/>
      <c r="N477" s="136"/>
      <c r="O477" s="622"/>
      <c r="P477" s="624"/>
      <c r="Q477" s="353"/>
      <c r="R477" s="353"/>
      <c r="S477" s="130"/>
    </row>
    <row r="478" spans="1:19" s="133" customFormat="1" x14ac:dyDescent="0.25">
      <c r="A478" s="489"/>
      <c r="B478" s="489"/>
      <c r="D478" s="622"/>
      <c r="E478" s="622"/>
      <c r="F478" s="622"/>
      <c r="G478" s="136"/>
      <c r="H478" s="622"/>
      <c r="I478" s="622"/>
      <c r="J478" s="622"/>
      <c r="K478" s="622"/>
      <c r="L478" s="624"/>
      <c r="M478" s="622"/>
      <c r="N478" s="136"/>
      <c r="O478" s="622"/>
      <c r="P478" s="624"/>
      <c r="Q478" s="353"/>
      <c r="R478" s="353"/>
      <c r="S478" s="130"/>
    </row>
    <row r="479" spans="1:19" s="133" customFormat="1" x14ac:dyDescent="0.25">
      <c r="A479" s="489"/>
      <c r="B479" s="489"/>
      <c r="D479" s="622"/>
      <c r="E479" s="622"/>
      <c r="F479" s="622"/>
      <c r="G479" s="136"/>
      <c r="H479" s="622"/>
      <c r="I479" s="622"/>
      <c r="J479" s="622"/>
      <c r="K479" s="622"/>
      <c r="L479" s="624"/>
      <c r="M479" s="622"/>
      <c r="N479" s="136"/>
      <c r="O479" s="622"/>
      <c r="P479" s="624"/>
      <c r="Q479" s="353"/>
      <c r="R479" s="353"/>
      <c r="S479" s="130"/>
    </row>
    <row r="480" spans="1:19" s="133" customFormat="1" x14ac:dyDescent="0.25">
      <c r="A480" s="489"/>
      <c r="B480" s="489"/>
      <c r="D480" s="622"/>
      <c r="E480" s="622"/>
      <c r="F480" s="622"/>
      <c r="G480" s="136"/>
      <c r="H480" s="622"/>
      <c r="I480" s="622"/>
      <c r="J480" s="622"/>
      <c r="K480" s="622"/>
      <c r="L480" s="624"/>
      <c r="M480" s="622"/>
      <c r="N480" s="136"/>
      <c r="O480" s="622"/>
      <c r="P480" s="624"/>
      <c r="Q480" s="353"/>
      <c r="R480" s="353"/>
      <c r="S480" s="130"/>
    </row>
    <row r="481" spans="1:19" s="133" customFormat="1" x14ac:dyDescent="0.25">
      <c r="A481" s="489"/>
      <c r="B481" s="489"/>
      <c r="D481" s="622"/>
      <c r="E481" s="622"/>
      <c r="F481" s="622"/>
      <c r="G481" s="136"/>
      <c r="H481" s="622"/>
      <c r="I481" s="622"/>
      <c r="J481" s="622"/>
      <c r="K481" s="622"/>
      <c r="L481" s="624"/>
      <c r="M481" s="622"/>
      <c r="N481" s="136"/>
      <c r="O481" s="622"/>
      <c r="P481" s="624"/>
      <c r="Q481" s="353"/>
      <c r="R481" s="353"/>
      <c r="S481" s="130"/>
    </row>
    <row r="482" spans="1:19" s="133" customFormat="1" x14ac:dyDescent="0.25">
      <c r="A482" s="489"/>
      <c r="B482" s="489"/>
      <c r="D482" s="622"/>
      <c r="E482" s="622"/>
      <c r="F482" s="622"/>
      <c r="G482" s="136"/>
      <c r="H482" s="622"/>
      <c r="I482" s="622"/>
      <c r="J482" s="622"/>
      <c r="K482" s="622"/>
      <c r="L482" s="624"/>
      <c r="M482" s="622"/>
      <c r="N482" s="136"/>
      <c r="O482" s="622"/>
      <c r="P482" s="624"/>
      <c r="Q482" s="353"/>
      <c r="R482" s="353"/>
      <c r="S482" s="130"/>
    </row>
    <row r="483" spans="1:19" s="133" customFormat="1" x14ac:dyDescent="0.25">
      <c r="A483" s="489"/>
      <c r="B483" s="489"/>
      <c r="D483" s="622"/>
      <c r="E483" s="622"/>
      <c r="F483" s="622"/>
      <c r="G483" s="136"/>
      <c r="H483" s="622"/>
      <c r="I483" s="622"/>
      <c r="J483" s="622"/>
      <c r="K483" s="622"/>
      <c r="L483" s="624"/>
      <c r="M483" s="622"/>
      <c r="N483" s="136"/>
      <c r="O483" s="622"/>
      <c r="P483" s="624"/>
      <c r="Q483" s="353"/>
      <c r="R483" s="353"/>
      <c r="S483" s="130"/>
    </row>
    <row r="484" spans="1:19" s="133" customFormat="1" x14ac:dyDescent="0.25">
      <c r="A484" s="489"/>
      <c r="B484" s="489"/>
      <c r="D484" s="622"/>
      <c r="E484" s="622"/>
      <c r="F484" s="622"/>
      <c r="G484" s="136"/>
      <c r="H484" s="622"/>
      <c r="I484" s="622"/>
      <c r="J484" s="622"/>
      <c r="K484" s="622"/>
      <c r="L484" s="624"/>
      <c r="M484" s="622"/>
      <c r="N484" s="136"/>
      <c r="O484" s="622"/>
      <c r="P484" s="624"/>
      <c r="Q484" s="353"/>
      <c r="R484" s="353"/>
      <c r="S484" s="130"/>
    </row>
    <row r="485" spans="1:19" s="133" customFormat="1" x14ac:dyDescent="0.25">
      <c r="A485" s="489"/>
      <c r="B485" s="489"/>
      <c r="D485" s="622"/>
      <c r="E485" s="622"/>
      <c r="F485" s="622"/>
      <c r="G485" s="136"/>
      <c r="H485" s="622"/>
      <c r="I485" s="622"/>
      <c r="J485" s="622"/>
      <c r="K485" s="622"/>
      <c r="L485" s="624"/>
      <c r="M485" s="622"/>
      <c r="N485" s="136"/>
      <c r="O485" s="622"/>
      <c r="P485" s="624"/>
      <c r="Q485" s="353"/>
      <c r="R485" s="353"/>
      <c r="S485" s="130"/>
    </row>
    <row r="486" spans="1:19" s="133" customFormat="1" x14ac:dyDescent="0.25">
      <c r="A486" s="489"/>
      <c r="B486" s="489"/>
      <c r="D486" s="622"/>
      <c r="E486" s="622"/>
      <c r="F486" s="622"/>
      <c r="G486" s="136"/>
      <c r="H486" s="622"/>
      <c r="I486" s="622"/>
      <c r="J486" s="622"/>
      <c r="K486" s="622"/>
      <c r="L486" s="624"/>
      <c r="M486" s="622"/>
      <c r="N486" s="136"/>
      <c r="O486" s="622"/>
      <c r="P486" s="624"/>
      <c r="Q486" s="353"/>
      <c r="R486" s="353"/>
      <c r="S486" s="130"/>
    </row>
    <row r="487" spans="1:19" s="133" customFormat="1" x14ac:dyDescent="0.25">
      <c r="A487" s="489"/>
      <c r="B487" s="489"/>
      <c r="D487" s="622"/>
      <c r="E487" s="622"/>
      <c r="F487" s="622"/>
      <c r="G487" s="136"/>
      <c r="H487" s="622"/>
      <c r="I487" s="622"/>
      <c r="J487" s="622"/>
      <c r="K487" s="622"/>
      <c r="L487" s="624"/>
      <c r="M487" s="622"/>
      <c r="N487" s="136"/>
      <c r="O487" s="622"/>
      <c r="P487" s="624"/>
      <c r="Q487" s="353"/>
      <c r="R487" s="353"/>
      <c r="S487" s="130"/>
    </row>
    <row r="488" spans="1:19" s="133" customFormat="1" x14ac:dyDescent="0.25">
      <c r="A488" s="489"/>
      <c r="B488" s="489"/>
      <c r="D488" s="622"/>
      <c r="E488" s="622"/>
      <c r="F488" s="622"/>
      <c r="G488" s="136"/>
      <c r="H488" s="622"/>
      <c r="I488" s="622"/>
      <c r="J488" s="622"/>
      <c r="K488" s="622"/>
      <c r="L488" s="624"/>
      <c r="M488" s="622"/>
      <c r="N488" s="136"/>
      <c r="O488" s="622"/>
      <c r="P488" s="624"/>
      <c r="Q488" s="353"/>
      <c r="R488" s="353"/>
      <c r="S488" s="130"/>
    </row>
    <row r="489" spans="1:19" s="133" customFormat="1" x14ac:dyDescent="0.25">
      <c r="A489" s="489"/>
      <c r="B489" s="489"/>
      <c r="D489" s="622"/>
      <c r="E489" s="622"/>
      <c r="F489" s="622"/>
      <c r="G489" s="136"/>
      <c r="H489" s="622"/>
      <c r="I489" s="622"/>
      <c r="J489" s="622"/>
      <c r="K489" s="622"/>
      <c r="L489" s="624"/>
      <c r="M489" s="622"/>
      <c r="N489" s="136"/>
      <c r="O489" s="622"/>
      <c r="P489" s="624"/>
      <c r="Q489" s="353"/>
      <c r="R489" s="353"/>
      <c r="S489" s="130"/>
    </row>
    <row r="490" spans="1:19" s="133" customFormat="1" x14ac:dyDescent="0.25">
      <c r="A490" s="489"/>
      <c r="B490" s="489"/>
      <c r="D490" s="622"/>
      <c r="E490" s="622"/>
      <c r="F490" s="622"/>
      <c r="G490" s="136"/>
      <c r="H490" s="622"/>
      <c r="I490" s="622"/>
      <c r="J490" s="622"/>
      <c r="K490" s="622"/>
      <c r="L490" s="624"/>
      <c r="M490" s="622"/>
      <c r="N490" s="136"/>
      <c r="O490" s="622"/>
      <c r="P490" s="624"/>
      <c r="Q490" s="353"/>
      <c r="R490" s="353"/>
      <c r="S490" s="130"/>
    </row>
    <row r="491" spans="1:19" s="133" customFormat="1" x14ac:dyDescent="0.25">
      <c r="A491" s="489"/>
      <c r="B491" s="489"/>
      <c r="D491" s="622"/>
      <c r="E491" s="622"/>
      <c r="F491" s="622"/>
      <c r="G491" s="136"/>
      <c r="H491" s="622"/>
      <c r="I491" s="622"/>
      <c r="J491" s="622"/>
      <c r="K491" s="622"/>
      <c r="L491" s="624"/>
      <c r="M491" s="622"/>
      <c r="N491" s="136"/>
      <c r="O491" s="622"/>
      <c r="P491" s="624"/>
      <c r="Q491" s="353"/>
      <c r="R491" s="353"/>
      <c r="S491" s="130"/>
    </row>
    <row r="492" spans="1:19" s="133" customFormat="1" x14ac:dyDescent="0.25">
      <c r="A492" s="489"/>
      <c r="B492" s="489"/>
      <c r="D492" s="622"/>
      <c r="E492" s="622"/>
      <c r="F492" s="622"/>
      <c r="G492" s="136"/>
      <c r="H492" s="622"/>
      <c r="I492" s="622"/>
      <c r="J492" s="622"/>
      <c r="K492" s="622"/>
      <c r="L492" s="624"/>
      <c r="M492" s="622"/>
      <c r="N492" s="136"/>
      <c r="O492" s="622"/>
      <c r="P492" s="624"/>
      <c r="Q492" s="353"/>
      <c r="R492" s="353"/>
      <c r="S492" s="130"/>
    </row>
    <row r="493" spans="1:19" s="133" customFormat="1" x14ac:dyDescent="0.25">
      <c r="A493" s="489"/>
      <c r="B493" s="489"/>
      <c r="D493" s="622"/>
      <c r="E493" s="622"/>
      <c r="F493" s="622"/>
      <c r="G493" s="136"/>
      <c r="H493" s="622"/>
      <c r="I493" s="622"/>
      <c r="J493" s="622"/>
      <c r="K493" s="622"/>
      <c r="L493" s="624"/>
      <c r="M493" s="622"/>
      <c r="N493" s="136"/>
      <c r="O493" s="622"/>
      <c r="P493" s="624"/>
      <c r="Q493" s="353"/>
      <c r="R493" s="353"/>
      <c r="S493" s="130"/>
    </row>
    <row r="494" spans="1:19" s="133" customFormat="1" x14ac:dyDescent="0.25">
      <c r="A494" s="489"/>
      <c r="B494" s="489"/>
      <c r="D494" s="622"/>
      <c r="E494" s="622"/>
      <c r="F494" s="622"/>
      <c r="G494" s="136"/>
      <c r="H494" s="622"/>
      <c r="I494" s="622"/>
      <c r="J494" s="622"/>
      <c r="K494" s="622"/>
      <c r="L494" s="624"/>
      <c r="M494" s="622"/>
      <c r="N494" s="136"/>
      <c r="O494" s="622"/>
      <c r="P494" s="624"/>
      <c r="Q494" s="353"/>
      <c r="R494" s="353"/>
      <c r="S494" s="130"/>
    </row>
    <row r="495" spans="1:19" s="133" customFormat="1" x14ac:dyDescent="0.25">
      <c r="A495" s="489"/>
      <c r="B495" s="489"/>
      <c r="D495" s="622"/>
      <c r="E495" s="622"/>
      <c r="F495" s="622"/>
      <c r="G495" s="136"/>
      <c r="H495" s="622"/>
      <c r="I495" s="622"/>
      <c r="J495" s="622"/>
      <c r="K495" s="622"/>
      <c r="L495" s="624"/>
      <c r="M495" s="622"/>
      <c r="N495" s="136"/>
      <c r="O495" s="622"/>
      <c r="P495" s="624"/>
      <c r="Q495" s="353"/>
      <c r="R495" s="353"/>
      <c r="S495" s="130"/>
    </row>
    <row r="496" spans="1:19" s="133" customFormat="1" x14ac:dyDescent="0.25">
      <c r="A496" s="489"/>
      <c r="B496" s="489"/>
      <c r="D496" s="622"/>
      <c r="E496" s="622"/>
      <c r="F496" s="622"/>
      <c r="G496" s="136"/>
      <c r="H496" s="622"/>
      <c r="I496" s="622"/>
      <c r="J496" s="622"/>
      <c r="K496" s="622"/>
      <c r="L496" s="624"/>
      <c r="M496" s="622"/>
      <c r="N496" s="136"/>
      <c r="O496" s="622"/>
      <c r="P496" s="624"/>
      <c r="Q496" s="353"/>
      <c r="R496" s="353"/>
      <c r="S496" s="130"/>
    </row>
    <row r="497" spans="1:19" s="133" customFormat="1" x14ac:dyDescent="0.25">
      <c r="A497" s="489"/>
      <c r="B497" s="489"/>
      <c r="D497" s="622"/>
      <c r="E497" s="622"/>
      <c r="F497" s="622"/>
      <c r="G497" s="136"/>
      <c r="H497" s="622"/>
      <c r="I497" s="622"/>
      <c r="J497" s="622"/>
      <c r="K497" s="622"/>
      <c r="L497" s="624"/>
      <c r="M497" s="622"/>
      <c r="N497" s="136"/>
      <c r="O497" s="622"/>
      <c r="P497" s="624"/>
      <c r="Q497" s="353"/>
      <c r="R497" s="353"/>
      <c r="S497" s="130"/>
    </row>
    <row r="498" spans="1:19" s="133" customFormat="1" x14ac:dyDescent="0.25">
      <c r="A498" s="489"/>
      <c r="B498" s="489"/>
      <c r="D498" s="622"/>
      <c r="E498" s="622"/>
      <c r="F498" s="622"/>
      <c r="G498" s="136"/>
      <c r="H498" s="622"/>
      <c r="I498" s="622"/>
      <c r="J498" s="622"/>
      <c r="K498" s="622"/>
      <c r="L498" s="624"/>
      <c r="M498" s="622"/>
      <c r="N498" s="136"/>
      <c r="O498" s="622"/>
      <c r="P498" s="624"/>
      <c r="Q498" s="353"/>
      <c r="R498" s="353"/>
      <c r="S498" s="130"/>
    </row>
    <row r="499" spans="1:19" s="133" customFormat="1" x14ac:dyDescent="0.25">
      <c r="A499" s="489"/>
      <c r="B499" s="489"/>
      <c r="D499" s="622"/>
      <c r="E499" s="622"/>
      <c r="F499" s="622"/>
      <c r="G499" s="136"/>
      <c r="H499" s="622"/>
      <c r="I499" s="622"/>
      <c r="J499" s="622"/>
      <c r="K499" s="622"/>
      <c r="L499" s="624"/>
      <c r="M499" s="622"/>
      <c r="N499" s="136"/>
      <c r="O499" s="622"/>
      <c r="P499" s="624"/>
      <c r="Q499" s="353"/>
      <c r="R499" s="353"/>
      <c r="S499" s="130"/>
    </row>
    <row r="500" spans="1:19" s="133" customFormat="1" x14ac:dyDescent="0.25">
      <c r="A500" s="489"/>
      <c r="B500" s="489"/>
      <c r="D500" s="622"/>
      <c r="E500" s="622"/>
      <c r="F500" s="622"/>
      <c r="G500" s="136"/>
      <c r="H500" s="622"/>
      <c r="I500" s="622"/>
      <c r="J500" s="622"/>
      <c r="K500" s="622"/>
      <c r="L500" s="624"/>
      <c r="M500" s="622"/>
      <c r="N500" s="136"/>
      <c r="O500" s="622"/>
      <c r="P500" s="624"/>
      <c r="Q500" s="353"/>
      <c r="R500" s="353"/>
      <c r="S500" s="130"/>
    </row>
    <row r="501" spans="1:19" s="133" customFormat="1" x14ac:dyDescent="0.25">
      <c r="A501" s="489"/>
      <c r="B501" s="489"/>
      <c r="D501" s="622"/>
      <c r="E501" s="622"/>
      <c r="F501" s="622"/>
      <c r="G501" s="136"/>
      <c r="H501" s="622"/>
      <c r="I501" s="622"/>
      <c r="J501" s="622"/>
      <c r="K501" s="622"/>
      <c r="L501" s="624"/>
      <c r="M501" s="622"/>
      <c r="N501" s="136"/>
      <c r="O501" s="622"/>
      <c r="P501" s="624"/>
      <c r="Q501" s="353"/>
      <c r="R501" s="353"/>
      <c r="S501" s="130"/>
    </row>
    <row r="502" spans="1:19" s="133" customFormat="1" x14ac:dyDescent="0.25">
      <c r="A502" s="489"/>
      <c r="B502" s="489"/>
      <c r="D502" s="622"/>
      <c r="E502" s="622"/>
      <c r="F502" s="622"/>
      <c r="G502" s="136"/>
      <c r="H502" s="622"/>
      <c r="I502" s="622"/>
      <c r="J502" s="622"/>
      <c r="K502" s="622"/>
      <c r="L502" s="624"/>
      <c r="M502" s="622"/>
      <c r="N502" s="136"/>
      <c r="O502" s="622"/>
      <c r="P502" s="624"/>
      <c r="Q502" s="353"/>
      <c r="R502" s="353"/>
      <c r="S502" s="130"/>
    </row>
    <row r="503" spans="1:19" s="133" customFormat="1" x14ac:dyDescent="0.25">
      <c r="A503" s="489"/>
      <c r="B503" s="489"/>
      <c r="D503" s="622"/>
      <c r="E503" s="622"/>
      <c r="F503" s="622"/>
      <c r="G503" s="136"/>
      <c r="H503" s="622"/>
      <c r="I503" s="622"/>
      <c r="J503" s="622"/>
      <c r="K503" s="622"/>
      <c r="L503" s="624"/>
      <c r="M503" s="622"/>
      <c r="N503" s="136"/>
      <c r="O503" s="622"/>
      <c r="P503" s="624"/>
      <c r="Q503" s="353"/>
      <c r="R503" s="353"/>
      <c r="S503" s="130"/>
    </row>
    <row r="504" spans="1:19" s="133" customFormat="1" x14ac:dyDescent="0.25">
      <c r="A504" s="489"/>
      <c r="B504" s="489"/>
      <c r="D504" s="622"/>
      <c r="E504" s="622"/>
      <c r="F504" s="622"/>
      <c r="G504" s="136"/>
      <c r="H504" s="622"/>
      <c r="I504" s="622"/>
      <c r="J504" s="622"/>
      <c r="K504" s="622"/>
      <c r="L504" s="624"/>
      <c r="M504" s="622"/>
      <c r="N504" s="136"/>
      <c r="O504" s="622"/>
      <c r="P504" s="624"/>
      <c r="Q504" s="353"/>
      <c r="R504" s="353"/>
      <c r="S504" s="130"/>
    </row>
    <row r="505" spans="1:19" s="133" customFormat="1" x14ac:dyDescent="0.25">
      <c r="A505" s="489"/>
      <c r="B505" s="489"/>
      <c r="D505" s="622"/>
      <c r="E505" s="622"/>
      <c r="F505" s="622"/>
      <c r="G505" s="136"/>
      <c r="H505" s="622"/>
      <c r="I505" s="622"/>
      <c r="J505" s="622"/>
      <c r="K505" s="622"/>
      <c r="L505" s="624"/>
      <c r="M505" s="622"/>
      <c r="N505" s="136"/>
      <c r="O505" s="622"/>
      <c r="P505" s="624"/>
      <c r="Q505" s="353"/>
      <c r="R505" s="353"/>
      <c r="S505" s="130"/>
    </row>
    <row r="506" spans="1:19" s="133" customFormat="1" x14ac:dyDescent="0.25">
      <c r="A506" s="489"/>
      <c r="B506" s="489"/>
      <c r="D506" s="622"/>
      <c r="E506" s="622"/>
      <c r="F506" s="622"/>
      <c r="G506" s="136"/>
      <c r="H506" s="622"/>
      <c r="I506" s="622"/>
      <c r="J506" s="622"/>
      <c r="K506" s="622"/>
      <c r="L506" s="624"/>
      <c r="M506" s="622"/>
      <c r="N506" s="136"/>
      <c r="O506" s="622"/>
      <c r="P506" s="624"/>
      <c r="Q506" s="353"/>
      <c r="R506" s="353"/>
      <c r="S506" s="130"/>
    </row>
    <row r="507" spans="1:19" s="133" customFormat="1" x14ac:dyDescent="0.25">
      <c r="A507" s="489"/>
      <c r="B507" s="489"/>
      <c r="D507" s="622"/>
      <c r="E507" s="622"/>
      <c r="F507" s="622"/>
      <c r="G507" s="136"/>
      <c r="H507" s="622"/>
      <c r="I507" s="622"/>
      <c r="J507" s="622"/>
      <c r="K507" s="622"/>
      <c r="L507" s="624"/>
      <c r="M507" s="622"/>
      <c r="N507" s="136"/>
      <c r="O507" s="622"/>
      <c r="P507" s="624"/>
      <c r="Q507" s="353"/>
      <c r="R507" s="353"/>
      <c r="S507" s="130"/>
    </row>
    <row r="508" spans="1:19" s="133" customFormat="1" x14ac:dyDescent="0.25">
      <c r="A508" s="489"/>
      <c r="B508" s="489"/>
      <c r="D508" s="622"/>
      <c r="E508" s="622"/>
      <c r="F508" s="622"/>
      <c r="G508" s="136"/>
      <c r="H508" s="622"/>
      <c r="I508" s="622"/>
      <c r="J508" s="622"/>
      <c r="K508" s="622"/>
      <c r="L508" s="624"/>
      <c r="M508" s="622"/>
      <c r="N508" s="136"/>
      <c r="O508" s="622"/>
      <c r="P508" s="624"/>
      <c r="Q508" s="353"/>
      <c r="R508" s="353"/>
      <c r="S508" s="130"/>
    </row>
    <row r="509" spans="1:19" s="133" customFormat="1" x14ac:dyDescent="0.25">
      <c r="A509" s="489"/>
      <c r="B509" s="489"/>
      <c r="D509" s="622"/>
      <c r="E509" s="622"/>
      <c r="F509" s="622"/>
      <c r="G509" s="136"/>
      <c r="H509" s="622"/>
      <c r="I509" s="622"/>
      <c r="J509" s="622"/>
      <c r="K509" s="622"/>
      <c r="L509" s="624"/>
      <c r="M509" s="622"/>
      <c r="N509" s="136"/>
      <c r="O509" s="622"/>
      <c r="P509" s="624"/>
      <c r="Q509" s="353"/>
      <c r="R509" s="353"/>
      <c r="S509" s="130"/>
    </row>
    <row r="510" spans="1:19" s="133" customFormat="1" x14ac:dyDescent="0.25">
      <c r="A510" s="489"/>
      <c r="B510" s="489"/>
      <c r="D510" s="622"/>
      <c r="E510" s="622"/>
      <c r="F510" s="622"/>
      <c r="G510" s="136"/>
      <c r="H510" s="622"/>
      <c r="I510" s="622"/>
      <c r="J510" s="622"/>
      <c r="K510" s="622"/>
      <c r="L510" s="624"/>
      <c r="M510" s="622"/>
      <c r="N510" s="136"/>
      <c r="O510" s="622"/>
      <c r="P510" s="624"/>
      <c r="Q510" s="353"/>
      <c r="R510" s="353"/>
      <c r="S510" s="130"/>
    </row>
    <row r="511" spans="1:19" s="133" customFormat="1" x14ac:dyDescent="0.25">
      <c r="A511" s="489"/>
      <c r="B511" s="489"/>
      <c r="D511" s="622"/>
      <c r="E511" s="622"/>
      <c r="F511" s="622"/>
      <c r="G511" s="136"/>
      <c r="H511" s="622"/>
      <c r="I511" s="622"/>
      <c r="J511" s="622"/>
      <c r="K511" s="622"/>
      <c r="L511" s="624"/>
      <c r="M511" s="622"/>
      <c r="N511" s="136"/>
      <c r="O511" s="622"/>
      <c r="P511" s="624"/>
      <c r="Q511" s="353"/>
      <c r="R511" s="353"/>
      <c r="S511" s="130"/>
    </row>
    <row r="512" spans="1:19" s="133" customFormat="1" x14ac:dyDescent="0.25">
      <c r="A512" s="489"/>
      <c r="B512" s="489"/>
      <c r="D512" s="622"/>
      <c r="E512" s="622"/>
      <c r="F512" s="622"/>
      <c r="G512" s="136"/>
      <c r="H512" s="622"/>
      <c r="I512" s="622"/>
      <c r="J512" s="622"/>
      <c r="K512" s="622"/>
      <c r="L512" s="624"/>
      <c r="M512" s="622"/>
      <c r="N512" s="136"/>
      <c r="O512" s="622"/>
      <c r="P512" s="624"/>
      <c r="Q512" s="353"/>
      <c r="R512" s="353"/>
      <c r="S512" s="130"/>
    </row>
    <row r="513" spans="1:19" s="133" customFormat="1" x14ac:dyDescent="0.25">
      <c r="A513" s="489"/>
      <c r="B513" s="489"/>
      <c r="D513" s="622"/>
      <c r="E513" s="622"/>
      <c r="F513" s="622"/>
      <c r="G513" s="136"/>
      <c r="H513" s="622"/>
      <c r="I513" s="622"/>
      <c r="J513" s="622"/>
      <c r="K513" s="622"/>
      <c r="L513" s="624"/>
      <c r="M513" s="622"/>
      <c r="N513" s="136"/>
      <c r="O513" s="622"/>
      <c r="P513" s="624"/>
      <c r="Q513" s="353"/>
      <c r="R513" s="353"/>
      <c r="S513" s="130"/>
    </row>
    <row r="514" spans="1:19" s="133" customFormat="1" x14ac:dyDescent="0.25">
      <c r="A514" s="489"/>
      <c r="B514" s="489"/>
      <c r="D514" s="622"/>
      <c r="E514" s="622"/>
      <c r="F514" s="622"/>
      <c r="G514" s="136"/>
      <c r="H514" s="622"/>
      <c r="I514" s="622"/>
      <c r="J514" s="622"/>
      <c r="K514" s="622"/>
      <c r="L514" s="624"/>
      <c r="M514" s="622"/>
      <c r="N514" s="136"/>
      <c r="O514" s="622"/>
      <c r="P514" s="624"/>
      <c r="Q514" s="353"/>
      <c r="R514" s="353"/>
      <c r="S514" s="130"/>
    </row>
    <row r="515" spans="1:19" s="133" customFormat="1" x14ac:dyDescent="0.25">
      <c r="A515" s="489"/>
      <c r="B515" s="489"/>
      <c r="D515" s="622"/>
      <c r="E515" s="622"/>
      <c r="F515" s="622"/>
      <c r="G515" s="136"/>
      <c r="H515" s="622"/>
      <c r="I515" s="622"/>
      <c r="J515" s="622"/>
      <c r="K515" s="622"/>
      <c r="L515" s="624"/>
      <c r="M515" s="622"/>
      <c r="N515" s="136"/>
      <c r="O515" s="622"/>
      <c r="P515" s="624"/>
      <c r="Q515" s="353"/>
      <c r="R515" s="353"/>
      <c r="S515" s="130"/>
    </row>
    <row r="516" spans="1:19" s="133" customFormat="1" x14ac:dyDescent="0.25">
      <c r="A516" s="489"/>
      <c r="B516" s="489"/>
      <c r="D516" s="622"/>
      <c r="E516" s="622"/>
      <c r="F516" s="622"/>
      <c r="G516" s="136"/>
      <c r="H516" s="622"/>
      <c r="I516" s="622"/>
      <c r="J516" s="622"/>
      <c r="K516" s="622"/>
      <c r="L516" s="624"/>
      <c r="M516" s="622"/>
      <c r="N516" s="136"/>
      <c r="O516" s="622"/>
      <c r="P516" s="624"/>
      <c r="Q516" s="353"/>
      <c r="R516" s="353"/>
      <c r="S516" s="130"/>
    </row>
    <row r="517" spans="1:19" s="133" customFormat="1" x14ac:dyDescent="0.25">
      <c r="A517" s="489"/>
      <c r="B517" s="489"/>
      <c r="D517" s="622"/>
      <c r="E517" s="622"/>
      <c r="F517" s="622"/>
      <c r="G517" s="136"/>
      <c r="H517" s="622"/>
      <c r="I517" s="622"/>
      <c r="J517" s="622"/>
      <c r="K517" s="622"/>
      <c r="L517" s="624"/>
      <c r="M517" s="622"/>
      <c r="N517" s="136"/>
      <c r="O517" s="622"/>
      <c r="P517" s="624"/>
      <c r="Q517" s="353"/>
      <c r="R517" s="353"/>
      <c r="S517" s="130"/>
    </row>
    <row r="518" spans="1:19" s="133" customFormat="1" x14ac:dyDescent="0.25">
      <c r="A518" s="489"/>
      <c r="B518" s="489"/>
      <c r="D518" s="622"/>
      <c r="E518" s="622"/>
      <c r="F518" s="622"/>
      <c r="G518" s="136"/>
      <c r="H518" s="622"/>
      <c r="I518" s="622"/>
      <c r="J518" s="622"/>
      <c r="K518" s="622"/>
      <c r="L518" s="624"/>
      <c r="M518" s="622"/>
      <c r="N518" s="136"/>
      <c r="O518" s="622"/>
      <c r="P518" s="624"/>
      <c r="Q518" s="353"/>
      <c r="R518" s="353"/>
      <c r="S518" s="130"/>
    </row>
    <row r="519" spans="1:19" s="133" customFormat="1" x14ac:dyDescent="0.25">
      <c r="A519" s="489"/>
      <c r="B519" s="489"/>
      <c r="D519" s="622"/>
      <c r="E519" s="622"/>
      <c r="F519" s="622"/>
      <c r="G519" s="136"/>
      <c r="H519" s="622"/>
      <c r="I519" s="622"/>
      <c r="J519" s="622"/>
      <c r="K519" s="622"/>
      <c r="L519" s="624"/>
      <c r="M519" s="622"/>
      <c r="N519" s="136"/>
      <c r="O519" s="622"/>
      <c r="P519" s="624"/>
      <c r="Q519" s="353"/>
      <c r="R519" s="353"/>
      <c r="S519" s="130"/>
    </row>
    <row r="520" spans="1:19" s="133" customFormat="1" x14ac:dyDescent="0.25">
      <c r="A520" s="489"/>
      <c r="B520" s="489"/>
      <c r="D520" s="622"/>
      <c r="E520" s="622"/>
      <c r="F520" s="622"/>
      <c r="G520" s="136"/>
      <c r="H520" s="622"/>
      <c r="I520" s="622"/>
      <c r="J520" s="622"/>
      <c r="K520" s="622"/>
      <c r="L520" s="624"/>
      <c r="M520" s="622"/>
      <c r="N520" s="136"/>
      <c r="O520" s="622"/>
      <c r="P520" s="624"/>
      <c r="Q520" s="353"/>
      <c r="R520" s="353"/>
      <c r="S520" s="130"/>
    </row>
    <row r="521" spans="1:19" s="133" customFormat="1" x14ac:dyDescent="0.25">
      <c r="A521" s="489"/>
      <c r="B521" s="489"/>
      <c r="D521" s="622"/>
      <c r="E521" s="622"/>
      <c r="F521" s="622"/>
      <c r="G521" s="136"/>
      <c r="H521" s="622"/>
      <c r="I521" s="622"/>
      <c r="J521" s="622"/>
      <c r="K521" s="622"/>
      <c r="L521" s="624"/>
      <c r="M521" s="622"/>
      <c r="N521" s="136"/>
      <c r="O521" s="622"/>
      <c r="P521" s="624"/>
      <c r="Q521" s="353"/>
      <c r="R521" s="353"/>
      <c r="S521" s="130"/>
    </row>
    <row r="522" spans="1:19" s="133" customFormat="1" x14ac:dyDescent="0.25">
      <c r="A522" s="489"/>
      <c r="B522" s="489"/>
      <c r="D522" s="622"/>
      <c r="E522" s="622"/>
      <c r="F522" s="622"/>
      <c r="G522" s="136"/>
      <c r="H522" s="622"/>
      <c r="I522" s="622"/>
      <c r="J522" s="622"/>
      <c r="K522" s="622"/>
      <c r="L522" s="624"/>
      <c r="M522" s="622"/>
      <c r="N522" s="136"/>
      <c r="O522" s="622"/>
      <c r="P522" s="624"/>
      <c r="Q522" s="353"/>
      <c r="R522" s="353"/>
      <c r="S522" s="130"/>
    </row>
    <row r="523" spans="1:19" s="133" customFormat="1" x14ac:dyDescent="0.25">
      <c r="A523" s="489"/>
      <c r="B523" s="489"/>
      <c r="D523" s="622"/>
      <c r="E523" s="622"/>
      <c r="F523" s="622"/>
      <c r="G523" s="136"/>
      <c r="H523" s="622"/>
      <c r="I523" s="622"/>
      <c r="J523" s="622"/>
      <c r="K523" s="622"/>
      <c r="L523" s="624"/>
      <c r="M523" s="622"/>
      <c r="N523" s="136"/>
      <c r="O523" s="622"/>
      <c r="P523" s="624"/>
      <c r="Q523" s="353"/>
      <c r="R523" s="353"/>
      <c r="S523" s="130"/>
    </row>
    <row r="524" spans="1:19" s="133" customFormat="1" x14ac:dyDescent="0.25">
      <c r="A524" s="489"/>
      <c r="B524" s="489"/>
      <c r="D524" s="622"/>
      <c r="E524" s="622"/>
      <c r="F524" s="622"/>
      <c r="G524" s="136"/>
      <c r="H524" s="622"/>
      <c r="I524" s="622"/>
      <c r="J524" s="622"/>
      <c r="K524" s="622"/>
      <c r="L524" s="624"/>
      <c r="M524" s="622"/>
      <c r="N524" s="136"/>
      <c r="O524" s="622"/>
      <c r="P524" s="624"/>
      <c r="Q524" s="353"/>
      <c r="R524" s="353"/>
      <c r="S524" s="130"/>
    </row>
    <row r="525" spans="1:19" s="133" customFormat="1" x14ac:dyDescent="0.25">
      <c r="A525" s="489"/>
      <c r="B525" s="489"/>
      <c r="D525" s="622"/>
      <c r="E525" s="622"/>
      <c r="F525" s="622"/>
      <c r="G525" s="136"/>
      <c r="H525" s="622"/>
      <c r="I525" s="622"/>
      <c r="J525" s="622"/>
      <c r="K525" s="622"/>
      <c r="L525" s="624"/>
      <c r="M525" s="622"/>
      <c r="N525" s="136"/>
      <c r="O525" s="622"/>
      <c r="P525" s="624"/>
      <c r="Q525" s="353"/>
      <c r="R525" s="353"/>
      <c r="S525" s="130"/>
    </row>
    <row r="526" spans="1:19" s="133" customFormat="1" x14ac:dyDescent="0.25">
      <c r="A526" s="489"/>
      <c r="B526" s="489"/>
      <c r="D526" s="622"/>
      <c r="E526" s="622"/>
      <c r="F526" s="622"/>
      <c r="G526" s="136"/>
      <c r="H526" s="622"/>
      <c r="I526" s="622"/>
      <c r="J526" s="622"/>
      <c r="K526" s="622"/>
      <c r="L526" s="624"/>
      <c r="M526" s="622"/>
      <c r="N526" s="136"/>
      <c r="O526" s="622"/>
      <c r="P526" s="624"/>
      <c r="Q526" s="353"/>
      <c r="R526" s="353"/>
      <c r="S526" s="130"/>
    </row>
    <row r="527" spans="1:19" s="133" customFormat="1" x14ac:dyDescent="0.25">
      <c r="A527" s="489"/>
      <c r="B527" s="489"/>
      <c r="D527" s="622"/>
      <c r="E527" s="622"/>
      <c r="F527" s="622"/>
      <c r="G527" s="136"/>
      <c r="H527" s="622"/>
      <c r="I527" s="622"/>
      <c r="J527" s="622"/>
      <c r="K527" s="622"/>
      <c r="L527" s="624"/>
      <c r="M527" s="622"/>
      <c r="N527" s="136"/>
      <c r="O527" s="622"/>
      <c r="P527" s="624"/>
      <c r="Q527" s="353"/>
      <c r="R527" s="353"/>
      <c r="S527" s="130"/>
    </row>
    <row r="528" spans="1:19" s="133" customFormat="1" x14ac:dyDescent="0.25">
      <c r="A528" s="489"/>
      <c r="B528" s="489"/>
      <c r="D528" s="622"/>
      <c r="E528" s="622"/>
      <c r="F528" s="622"/>
      <c r="G528" s="136"/>
      <c r="H528" s="622"/>
      <c r="I528" s="622"/>
      <c r="J528" s="622"/>
      <c r="K528" s="622"/>
      <c r="L528" s="624"/>
      <c r="M528" s="622"/>
      <c r="N528" s="136"/>
      <c r="O528" s="622"/>
      <c r="P528" s="624"/>
      <c r="Q528" s="353"/>
      <c r="R528" s="353"/>
      <c r="S528" s="130"/>
    </row>
    <row r="529" spans="1:19" s="133" customFormat="1" x14ac:dyDescent="0.25">
      <c r="A529" s="489"/>
      <c r="B529" s="489"/>
      <c r="D529" s="622"/>
      <c r="E529" s="622"/>
      <c r="F529" s="622"/>
      <c r="G529" s="136"/>
      <c r="H529" s="622"/>
      <c r="I529" s="622"/>
      <c r="J529" s="622"/>
      <c r="K529" s="622"/>
      <c r="L529" s="624"/>
      <c r="M529" s="622"/>
      <c r="N529" s="136"/>
      <c r="O529" s="622"/>
      <c r="P529" s="624"/>
      <c r="Q529" s="353"/>
      <c r="R529" s="353"/>
      <c r="S529" s="130"/>
    </row>
    <row r="530" spans="1:19" s="133" customFormat="1" x14ac:dyDescent="0.25">
      <c r="A530" s="489"/>
      <c r="B530" s="489"/>
      <c r="D530" s="622"/>
      <c r="E530" s="622"/>
      <c r="F530" s="622"/>
      <c r="G530" s="136"/>
      <c r="H530" s="622"/>
      <c r="I530" s="622"/>
      <c r="J530" s="622"/>
      <c r="K530" s="622"/>
      <c r="L530" s="624"/>
      <c r="M530" s="622"/>
      <c r="N530" s="136"/>
      <c r="O530" s="622"/>
      <c r="P530" s="624"/>
      <c r="Q530" s="353"/>
      <c r="R530" s="353"/>
      <c r="S530" s="130"/>
    </row>
    <row r="531" spans="1:19" s="133" customFormat="1" x14ac:dyDescent="0.25">
      <c r="A531" s="489"/>
      <c r="B531" s="489"/>
      <c r="D531" s="622"/>
      <c r="E531" s="622"/>
      <c r="F531" s="622"/>
      <c r="G531" s="136"/>
      <c r="H531" s="622"/>
      <c r="I531" s="622"/>
      <c r="J531" s="622"/>
      <c r="K531" s="622"/>
      <c r="L531" s="624"/>
      <c r="M531" s="622"/>
      <c r="N531" s="136"/>
      <c r="O531" s="622"/>
      <c r="P531" s="624"/>
      <c r="Q531" s="353"/>
      <c r="R531" s="353"/>
      <c r="S531" s="130"/>
    </row>
    <row r="532" spans="1:19" s="133" customFormat="1" x14ac:dyDescent="0.25">
      <c r="A532" s="489"/>
      <c r="B532" s="489"/>
      <c r="D532" s="622"/>
      <c r="E532" s="622"/>
      <c r="F532" s="622"/>
      <c r="G532" s="136"/>
      <c r="H532" s="622"/>
      <c r="I532" s="622"/>
      <c r="J532" s="622"/>
      <c r="K532" s="622"/>
      <c r="L532" s="624"/>
      <c r="M532" s="622"/>
      <c r="N532" s="136"/>
      <c r="O532" s="622"/>
      <c r="P532" s="624"/>
      <c r="Q532" s="353"/>
      <c r="R532" s="353"/>
      <c r="S532" s="130"/>
    </row>
    <row r="533" spans="1:19" s="133" customFormat="1" x14ac:dyDescent="0.25">
      <c r="A533" s="489"/>
      <c r="B533" s="489"/>
      <c r="D533" s="622"/>
      <c r="E533" s="622"/>
      <c r="F533" s="622"/>
      <c r="G533" s="136"/>
      <c r="H533" s="622"/>
      <c r="I533" s="622"/>
      <c r="J533" s="622"/>
      <c r="K533" s="622"/>
      <c r="L533" s="624"/>
      <c r="M533" s="622"/>
      <c r="N533" s="136"/>
      <c r="O533" s="622"/>
      <c r="P533" s="624"/>
      <c r="Q533" s="353"/>
      <c r="R533" s="353"/>
      <c r="S533" s="130"/>
    </row>
    <row r="534" spans="1:19" s="133" customFormat="1" x14ac:dyDescent="0.25">
      <c r="A534" s="489"/>
      <c r="B534" s="489"/>
      <c r="D534" s="622"/>
      <c r="E534" s="622"/>
      <c r="F534" s="622"/>
      <c r="G534" s="136"/>
      <c r="H534" s="622"/>
      <c r="I534" s="622"/>
      <c r="J534" s="622"/>
      <c r="K534" s="622"/>
      <c r="L534" s="624"/>
      <c r="M534" s="622"/>
      <c r="N534" s="136"/>
      <c r="O534" s="622"/>
      <c r="P534" s="624"/>
      <c r="Q534" s="353"/>
      <c r="R534" s="353"/>
      <c r="S534" s="130"/>
    </row>
    <row r="535" spans="1:19" s="133" customFormat="1" x14ac:dyDescent="0.25">
      <c r="A535" s="489"/>
      <c r="B535" s="489"/>
      <c r="D535" s="622"/>
      <c r="E535" s="622"/>
      <c r="F535" s="622"/>
      <c r="G535" s="136"/>
      <c r="H535" s="622"/>
      <c r="I535" s="622"/>
      <c r="J535" s="622"/>
      <c r="K535" s="622"/>
      <c r="L535" s="624"/>
      <c r="M535" s="622"/>
      <c r="N535" s="136"/>
      <c r="O535" s="622"/>
      <c r="P535" s="624"/>
      <c r="Q535" s="353"/>
      <c r="R535" s="353"/>
      <c r="S535" s="130"/>
    </row>
    <row r="536" spans="1:19" s="133" customFormat="1" x14ac:dyDescent="0.25">
      <c r="A536" s="489"/>
      <c r="B536" s="489"/>
      <c r="D536" s="622"/>
      <c r="E536" s="622"/>
      <c r="F536" s="622"/>
      <c r="G536" s="136"/>
      <c r="H536" s="622"/>
      <c r="I536" s="622"/>
      <c r="J536" s="622"/>
      <c r="K536" s="622"/>
      <c r="L536" s="624"/>
      <c r="M536" s="622"/>
      <c r="N536" s="136"/>
      <c r="O536" s="622"/>
      <c r="P536" s="624"/>
      <c r="Q536" s="353"/>
      <c r="R536" s="353"/>
      <c r="S536" s="130"/>
    </row>
    <row r="537" spans="1:19" s="133" customFormat="1" x14ac:dyDescent="0.25">
      <c r="A537" s="489"/>
      <c r="B537" s="489"/>
      <c r="D537" s="622"/>
      <c r="E537" s="622"/>
      <c r="F537" s="622"/>
      <c r="G537" s="136"/>
      <c r="H537" s="622"/>
      <c r="I537" s="622"/>
      <c r="J537" s="622"/>
      <c r="K537" s="622"/>
      <c r="L537" s="624"/>
      <c r="M537" s="622"/>
      <c r="N537" s="136"/>
      <c r="O537" s="622"/>
      <c r="P537" s="624"/>
      <c r="Q537" s="353"/>
      <c r="R537" s="353"/>
      <c r="S537" s="130"/>
    </row>
    <row r="538" spans="1:19" s="133" customFormat="1" x14ac:dyDescent="0.25">
      <c r="A538" s="489"/>
      <c r="B538" s="489"/>
      <c r="D538" s="622"/>
      <c r="E538" s="622"/>
      <c r="F538" s="622"/>
      <c r="G538" s="136"/>
      <c r="H538" s="622"/>
      <c r="I538" s="622"/>
      <c r="J538" s="622"/>
      <c r="K538" s="622"/>
      <c r="L538" s="624"/>
      <c r="M538" s="622"/>
      <c r="N538" s="136"/>
      <c r="O538" s="622"/>
      <c r="P538" s="624"/>
      <c r="Q538" s="353"/>
      <c r="R538" s="353"/>
      <c r="S538" s="130"/>
    </row>
    <row r="539" spans="1:19" s="133" customFormat="1" x14ac:dyDescent="0.25">
      <c r="A539" s="489"/>
      <c r="B539" s="489"/>
      <c r="D539" s="622"/>
      <c r="E539" s="622"/>
      <c r="F539" s="622"/>
      <c r="G539" s="136"/>
      <c r="H539" s="622"/>
      <c r="I539" s="622"/>
      <c r="J539" s="622"/>
      <c r="K539" s="622"/>
      <c r="L539" s="624"/>
      <c r="M539" s="622"/>
      <c r="N539" s="136"/>
      <c r="O539" s="622"/>
      <c r="P539" s="624"/>
      <c r="Q539" s="353"/>
      <c r="R539" s="353"/>
      <c r="S539" s="130"/>
    </row>
    <row r="540" spans="1:19" s="133" customFormat="1" x14ac:dyDescent="0.25">
      <c r="A540" s="489"/>
      <c r="B540" s="489"/>
      <c r="D540" s="622"/>
      <c r="E540" s="622"/>
      <c r="F540" s="622"/>
      <c r="G540" s="136"/>
      <c r="H540" s="622"/>
      <c r="I540" s="622"/>
      <c r="J540" s="622"/>
      <c r="K540" s="622"/>
      <c r="L540" s="624"/>
      <c r="M540" s="622"/>
      <c r="N540" s="136"/>
      <c r="O540" s="622"/>
      <c r="P540" s="624"/>
      <c r="Q540" s="353"/>
      <c r="R540" s="353"/>
      <c r="S540" s="130"/>
    </row>
    <row r="541" spans="1:19" s="133" customFormat="1" x14ac:dyDescent="0.25">
      <c r="A541" s="489"/>
      <c r="B541" s="489"/>
      <c r="D541" s="622"/>
      <c r="E541" s="622"/>
      <c r="F541" s="622"/>
      <c r="G541" s="136"/>
      <c r="H541" s="622"/>
      <c r="I541" s="622"/>
      <c r="J541" s="622"/>
      <c r="K541" s="622"/>
      <c r="L541" s="624"/>
      <c r="M541" s="622"/>
      <c r="N541" s="136"/>
      <c r="O541" s="622"/>
      <c r="P541" s="624"/>
      <c r="Q541" s="353"/>
      <c r="R541" s="353"/>
      <c r="S541" s="130"/>
    </row>
    <row r="542" spans="1:19" s="133" customFormat="1" x14ac:dyDescent="0.25">
      <c r="A542" s="489"/>
      <c r="B542" s="489"/>
      <c r="D542" s="622"/>
      <c r="E542" s="622"/>
      <c r="F542" s="622"/>
      <c r="G542" s="136"/>
      <c r="H542" s="622"/>
      <c r="I542" s="622"/>
      <c r="J542" s="622"/>
      <c r="K542" s="622"/>
      <c r="L542" s="624"/>
      <c r="M542" s="622"/>
      <c r="N542" s="136"/>
      <c r="O542" s="622"/>
      <c r="P542" s="624"/>
      <c r="Q542" s="353"/>
      <c r="R542" s="353"/>
      <c r="S542" s="130"/>
    </row>
    <row r="543" spans="1:19" s="133" customFormat="1" x14ac:dyDescent="0.25">
      <c r="A543" s="489"/>
      <c r="B543" s="489"/>
      <c r="D543" s="622"/>
      <c r="E543" s="622"/>
      <c r="F543" s="622"/>
      <c r="G543" s="136"/>
      <c r="H543" s="622"/>
      <c r="I543" s="622"/>
      <c r="J543" s="622"/>
      <c r="K543" s="622"/>
      <c r="L543" s="624"/>
      <c r="M543" s="622"/>
      <c r="N543" s="136"/>
      <c r="O543" s="622"/>
      <c r="P543" s="624"/>
      <c r="Q543" s="353"/>
      <c r="R543" s="353"/>
      <c r="S543" s="130"/>
    </row>
    <row r="544" spans="1:19" s="133" customFormat="1" x14ac:dyDescent="0.25">
      <c r="A544" s="489"/>
      <c r="B544" s="489"/>
      <c r="D544" s="622"/>
      <c r="E544" s="622"/>
      <c r="F544" s="622"/>
      <c r="G544" s="136"/>
      <c r="H544" s="622"/>
      <c r="I544" s="622"/>
      <c r="J544" s="622"/>
      <c r="K544" s="622"/>
      <c r="L544" s="624"/>
      <c r="M544" s="622"/>
      <c r="N544" s="136"/>
      <c r="O544" s="622"/>
      <c r="P544" s="624"/>
      <c r="Q544" s="353"/>
      <c r="R544" s="353"/>
      <c r="S544" s="130"/>
    </row>
    <row r="545" spans="1:19" s="133" customFormat="1" x14ac:dyDescent="0.25">
      <c r="A545" s="489"/>
      <c r="B545" s="489"/>
      <c r="D545" s="622"/>
      <c r="E545" s="622"/>
      <c r="F545" s="622"/>
      <c r="G545" s="136"/>
      <c r="H545" s="622"/>
      <c r="I545" s="622"/>
      <c r="J545" s="622"/>
      <c r="K545" s="622"/>
      <c r="L545" s="624"/>
      <c r="M545" s="622"/>
      <c r="N545" s="136"/>
      <c r="O545" s="622"/>
      <c r="P545" s="624"/>
      <c r="Q545" s="353"/>
      <c r="R545" s="353"/>
      <c r="S545" s="130"/>
    </row>
    <row r="546" spans="1:19" s="133" customFormat="1" x14ac:dyDescent="0.25">
      <c r="A546" s="489"/>
      <c r="B546" s="489"/>
      <c r="D546" s="622"/>
      <c r="E546" s="622"/>
      <c r="F546" s="622"/>
      <c r="G546" s="136"/>
      <c r="H546" s="622"/>
      <c r="I546" s="622"/>
      <c r="J546" s="622"/>
      <c r="K546" s="622"/>
      <c r="L546" s="624"/>
      <c r="M546" s="622"/>
      <c r="N546" s="136"/>
      <c r="O546" s="622"/>
      <c r="P546" s="624"/>
      <c r="Q546" s="353"/>
      <c r="R546" s="353"/>
      <c r="S546" s="130"/>
    </row>
    <row r="547" spans="1:19" s="133" customFormat="1" x14ac:dyDescent="0.25">
      <c r="A547" s="489"/>
      <c r="B547" s="489"/>
      <c r="D547" s="622"/>
      <c r="E547" s="622"/>
      <c r="F547" s="622"/>
      <c r="G547" s="136"/>
      <c r="H547" s="622"/>
      <c r="I547" s="622"/>
      <c r="J547" s="622"/>
      <c r="K547" s="622"/>
      <c r="L547" s="624"/>
      <c r="M547" s="622"/>
      <c r="N547" s="136"/>
      <c r="O547" s="622"/>
      <c r="P547" s="624"/>
      <c r="Q547" s="353"/>
      <c r="R547" s="353"/>
      <c r="S547" s="130"/>
    </row>
    <row r="548" spans="1:19" s="133" customFormat="1" x14ac:dyDescent="0.25">
      <c r="A548" s="489"/>
      <c r="B548" s="489"/>
      <c r="D548" s="622"/>
      <c r="E548" s="622"/>
      <c r="F548" s="622"/>
      <c r="G548" s="136"/>
      <c r="H548" s="622"/>
      <c r="I548" s="622"/>
      <c r="J548" s="622"/>
      <c r="K548" s="622"/>
      <c r="L548" s="624"/>
      <c r="M548" s="622"/>
      <c r="N548" s="136"/>
      <c r="O548" s="622"/>
      <c r="P548" s="624"/>
      <c r="Q548" s="353"/>
      <c r="R548" s="353"/>
      <c r="S548" s="130"/>
    </row>
    <row r="549" spans="1:19" s="133" customFormat="1" x14ac:dyDescent="0.25">
      <c r="A549" s="489"/>
      <c r="B549" s="489"/>
      <c r="D549" s="622"/>
      <c r="E549" s="622"/>
      <c r="F549" s="622"/>
      <c r="G549" s="136"/>
      <c r="H549" s="622"/>
      <c r="I549" s="622"/>
      <c r="J549" s="622"/>
      <c r="K549" s="622"/>
      <c r="L549" s="624"/>
      <c r="M549" s="622"/>
      <c r="N549" s="136"/>
      <c r="O549" s="622"/>
      <c r="P549" s="624"/>
      <c r="Q549" s="353"/>
      <c r="R549" s="353"/>
      <c r="S549" s="130"/>
    </row>
    <row r="550" spans="1:19" s="133" customFormat="1" x14ac:dyDescent="0.25">
      <c r="A550" s="489"/>
      <c r="B550" s="489"/>
      <c r="D550" s="622"/>
      <c r="E550" s="622"/>
      <c r="F550" s="622"/>
      <c r="G550" s="136"/>
      <c r="H550" s="622"/>
      <c r="I550" s="622"/>
      <c r="J550" s="622"/>
      <c r="K550" s="622"/>
      <c r="L550" s="624"/>
      <c r="M550" s="622"/>
      <c r="N550" s="136"/>
      <c r="O550" s="622"/>
      <c r="P550" s="624"/>
      <c r="Q550" s="353"/>
      <c r="R550" s="353"/>
      <c r="S550" s="130"/>
    </row>
    <row r="551" spans="1:19" s="133" customFormat="1" x14ac:dyDescent="0.25">
      <c r="A551" s="489"/>
      <c r="B551" s="489"/>
      <c r="D551" s="622"/>
      <c r="E551" s="622"/>
      <c r="F551" s="622"/>
      <c r="G551" s="136"/>
      <c r="H551" s="622"/>
      <c r="I551" s="622"/>
      <c r="J551" s="622"/>
      <c r="K551" s="622"/>
      <c r="L551" s="624"/>
      <c r="M551" s="622"/>
      <c r="N551" s="136"/>
      <c r="O551" s="622"/>
      <c r="P551" s="624"/>
      <c r="Q551" s="353"/>
      <c r="R551" s="353"/>
      <c r="S551" s="130"/>
    </row>
    <row r="552" spans="1:19" s="133" customFormat="1" x14ac:dyDescent="0.25">
      <c r="A552" s="489"/>
      <c r="B552" s="489"/>
      <c r="D552" s="622"/>
      <c r="E552" s="622"/>
      <c r="F552" s="622"/>
      <c r="G552" s="136"/>
      <c r="H552" s="622"/>
      <c r="I552" s="622"/>
      <c r="J552" s="622"/>
      <c r="K552" s="622"/>
      <c r="L552" s="624"/>
      <c r="M552" s="622"/>
      <c r="N552" s="136"/>
      <c r="O552" s="622"/>
      <c r="P552" s="624"/>
      <c r="Q552" s="353"/>
      <c r="R552" s="353"/>
      <c r="S552" s="130"/>
    </row>
    <row r="553" spans="1:19" s="133" customFormat="1" x14ac:dyDescent="0.25">
      <c r="A553" s="489"/>
      <c r="B553" s="489"/>
      <c r="D553" s="622"/>
      <c r="E553" s="622"/>
      <c r="F553" s="622"/>
      <c r="G553" s="136"/>
      <c r="H553" s="622"/>
      <c r="I553" s="622"/>
      <c r="J553" s="622"/>
      <c r="K553" s="622"/>
      <c r="L553" s="624"/>
      <c r="M553" s="622"/>
      <c r="N553" s="136"/>
      <c r="O553" s="622"/>
      <c r="P553" s="624"/>
      <c r="Q553" s="353"/>
      <c r="R553" s="353"/>
      <c r="S553" s="130"/>
    </row>
    <row r="554" spans="1:19" s="133" customFormat="1" x14ac:dyDescent="0.25">
      <c r="A554" s="489"/>
      <c r="B554" s="489"/>
      <c r="D554" s="622"/>
      <c r="E554" s="622"/>
      <c r="F554" s="622"/>
      <c r="G554" s="136"/>
      <c r="H554" s="622"/>
      <c r="I554" s="622"/>
      <c r="J554" s="622"/>
      <c r="K554" s="622"/>
      <c r="L554" s="624"/>
      <c r="M554" s="622"/>
      <c r="N554" s="136"/>
      <c r="O554" s="622"/>
      <c r="P554" s="624"/>
      <c r="Q554" s="353"/>
      <c r="R554" s="353"/>
      <c r="S554" s="130"/>
    </row>
    <row r="555" spans="1:19" s="133" customFormat="1" x14ac:dyDescent="0.25">
      <c r="A555" s="489"/>
      <c r="B555" s="489"/>
      <c r="D555" s="622"/>
      <c r="E555" s="622"/>
      <c r="F555" s="622"/>
      <c r="G555" s="136"/>
      <c r="H555" s="622"/>
      <c r="I555" s="622"/>
      <c r="J555" s="622"/>
      <c r="K555" s="622"/>
      <c r="L555" s="624"/>
      <c r="M555" s="622"/>
      <c r="N555" s="136"/>
      <c r="O555" s="622"/>
      <c r="P555" s="624"/>
      <c r="Q555" s="353"/>
      <c r="R555" s="353"/>
      <c r="S555" s="130"/>
    </row>
    <row r="556" spans="1:19" s="133" customFormat="1" x14ac:dyDescent="0.25">
      <c r="A556" s="489"/>
      <c r="B556" s="489"/>
      <c r="D556" s="622"/>
      <c r="E556" s="622"/>
      <c r="F556" s="622"/>
      <c r="G556" s="136"/>
      <c r="H556" s="622"/>
      <c r="I556" s="622"/>
      <c r="J556" s="622"/>
      <c r="K556" s="622"/>
      <c r="L556" s="624"/>
      <c r="M556" s="622"/>
      <c r="N556" s="136"/>
      <c r="O556" s="622"/>
      <c r="P556" s="624"/>
      <c r="Q556" s="353"/>
      <c r="R556" s="353"/>
      <c r="S556" s="130"/>
    </row>
    <row r="557" spans="1:19" s="133" customFormat="1" x14ac:dyDescent="0.25">
      <c r="A557" s="489"/>
      <c r="B557" s="489"/>
      <c r="D557" s="622"/>
      <c r="E557" s="622"/>
      <c r="F557" s="622"/>
      <c r="G557" s="136"/>
      <c r="H557" s="622"/>
      <c r="I557" s="622"/>
      <c r="J557" s="622"/>
      <c r="K557" s="622"/>
      <c r="L557" s="624"/>
      <c r="M557" s="622"/>
      <c r="N557" s="136"/>
      <c r="O557" s="622"/>
      <c r="P557" s="624"/>
      <c r="Q557" s="353"/>
      <c r="R557" s="353"/>
      <c r="S557" s="130"/>
    </row>
    <row r="558" spans="1:19" s="133" customFormat="1" x14ac:dyDescent="0.25">
      <c r="A558" s="489"/>
      <c r="B558" s="489"/>
      <c r="D558" s="622"/>
      <c r="E558" s="622"/>
      <c r="F558" s="622"/>
      <c r="G558" s="136"/>
      <c r="H558" s="622"/>
      <c r="I558" s="622"/>
      <c r="J558" s="622"/>
      <c r="K558" s="622"/>
      <c r="L558" s="624"/>
      <c r="M558" s="622"/>
      <c r="N558" s="136"/>
      <c r="O558" s="622"/>
      <c r="P558" s="624"/>
      <c r="Q558" s="353"/>
      <c r="R558" s="353"/>
      <c r="S558" s="130"/>
    </row>
    <row r="559" spans="1:19" s="133" customFormat="1" x14ac:dyDescent="0.25">
      <c r="A559" s="489"/>
      <c r="B559" s="489"/>
      <c r="D559" s="622"/>
      <c r="E559" s="622"/>
      <c r="F559" s="622"/>
      <c r="G559" s="136"/>
      <c r="H559" s="622"/>
      <c r="I559" s="622"/>
      <c r="J559" s="622"/>
      <c r="K559" s="622"/>
      <c r="L559" s="624"/>
      <c r="M559" s="622"/>
      <c r="N559" s="136"/>
      <c r="O559" s="622"/>
      <c r="P559" s="624"/>
      <c r="Q559" s="353"/>
      <c r="R559" s="353"/>
      <c r="S559" s="130"/>
    </row>
    <row r="560" spans="1:19" s="133" customFormat="1" x14ac:dyDescent="0.25">
      <c r="A560" s="489"/>
      <c r="B560" s="489"/>
      <c r="D560" s="622"/>
      <c r="E560" s="622"/>
      <c r="F560" s="622"/>
      <c r="G560" s="136"/>
      <c r="H560" s="622"/>
      <c r="I560" s="622"/>
      <c r="J560" s="622"/>
      <c r="K560" s="622"/>
      <c r="L560" s="624"/>
      <c r="M560" s="622"/>
      <c r="N560" s="136"/>
      <c r="O560" s="622"/>
      <c r="P560" s="624"/>
      <c r="Q560" s="353"/>
      <c r="R560" s="353"/>
      <c r="S560" s="130"/>
    </row>
    <row r="561" spans="1:19" s="133" customFormat="1" x14ac:dyDescent="0.25">
      <c r="A561" s="489"/>
      <c r="B561" s="489"/>
      <c r="D561" s="622"/>
      <c r="E561" s="622"/>
      <c r="F561" s="622"/>
      <c r="G561" s="136"/>
      <c r="H561" s="622"/>
      <c r="I561" s="622"/>
      <c r="J561" s="622"/>
      <c r="K561" s="622"/>
      <c r="L561" s="624"/>
      <c r="M561" s="622"/>
      <c r="N561" s="136"/>
      <c r="O561" s="622"/>
      <c r="P561" s="624"/>
      <c r="Q561" s="353"/>
      <c r="R561" s="353"/>
      <c r="S561" s="130"/>
    </row>
    <row r="562" spans="1:19" s="133" customFormat="1" x14ac:dyDescent="0.25">
      <c r="A562" s="489"/>
      <c r="B562" s="489"/>
      <c r="D562" s="622"/>
      <c r="E562" s="622"/>
      <c r="F562" s="622"/>
      <c r="G562" s="136"/>
      <c r="H562" s="622"/>
      <c r="I562" s="622"/>
      <c r="J562" s="622"/>
      <c r="K562" s="622"/>
      <c r="L562" s="624"/>
      <c r="M562" s="622"/>
      <c r="N562" s="136"/>
      <c r="O562" s="622"/>
      <c r="P562" s="624"/>
      <c r="Q562" s="353"/>
      <c r="R562" s="353"/>
      <c r="S562" s="130"/>
    </row>
    <row r="563" spans="1:19" s="133" customFormat="1" x14ac:dyDescent="0.25">
      <c r="A563" s="489"/>
      <c r="B563" s="489"/>
      <c r="D563" s="622"/>
      <c r="E563" s="622"/>
      <c r="F563" s="622"/>
      <c r="G563" s="136"/>
      <c r="H563" s="622"/>
      <c r="I563" s="622"/>
      <c r="J563" s="622"/>
      <c r="K563" s="622"/>
      <c r="L563" s="624"/>
      <c r="M563" s="622"/>
      <c r="N563" s="136"/>
      <c r="O563" s="622"/>
      <c r="P563" s="624"/>
      <c r="Q563" s="353"/>
      <c r="R563" s="353"/>
      <c r="S563" s="130"/>
    </row>
    <row r="564" spans="1:19" s="133" customFormat="1" x14ac:dyDescent="0.25">
      <c r="A564" s="489"/>
      <c r="B564" s="489"/>
      <c r="D564" s="622"/>
      <c r="E564" s="622"/>
      <c r="F564" s="622"/>
      <c r="G564" s="136"/>
      <c r="H564" s="622"/>
      <c r="I564" s="622"/>
      <c r="J564" s="622"/>
      <c r="K564" s="622"/>
      <c r="L564" s="624"/>
      <c r="M564" s="622"/>
      <c r="N564" s="136"/>
      <c r="O564" s="622"/>
      <c r="P564" s="624"/>
      <c r="Q564" s="353"/>
      <c r="R564" s="353"/>
      <c r="S564" s="130"/>
    </row>
    <row r="565" spans="1:19" s="133" customFormat="1" x14ac:dyDescent="0.25">
      <c r="A565" s="489"/>
      <c r="B565" s="489"/>
      <c r="D565" s="622"/>
      <c r="E565" s="622"/>
      <c r="F565" s="622"/>
      <c r="G565" s="136"/>
      <c r="H565" s="622"/>
      <c r="I565" s="622"/>
      <c r="J565" s="622"/>
      <c r="K565" s="622"/>
      <c r="L565" s="624"/>
      <c r="M565" s="622"/>
      <c r="N565" s="136"/>
      <c r="O565" s="622"/>
      <c r="P565" s="624"/>
      <c r="Q565" s="353"/>
      <c r="R565" s="353"/>
      <c r="S565" s="130"/>
    </row>
    <row r="566" spans="1:19" s="133" customFormat="1" x14ac:dyDescent="0.25">
      <c r="A566" s="489"/>
      <c r="B566" s="489"/>
      <c r="D566" s="622"/>
      <c r="E566" s="622"/>
      <c r="F566" s="622"/>
      <c r="G566" s="136"/>
      <c r="H566" s="622"/>
      <c r="I566" s="622"/>
      <c r="J566" s="622"/>
      <c r="K566" s="622"/>
      <c r="L566" s="624"/>
      <c r="M566" s="622"/>
      <c r="N566" s="136"/>
      <c r="O566" s="622"/>
      <c r="P566" s="624"/>
      <c r="Q566" s="353"/>
      <c r="R566" s="353"/>
      <c r="S566" s="130"/>
    </row>
    <row r="567" spans="1:19" s="133" customFormat="1" x14ac:dyDescent="0.25">
      <c r="A567" s="489"/>
      <c r="B567" s="489"/>
      <c r="D567" s="622"/>
      <c r="E567" s="622"/>
      <c r="F567" s="622"/>
      <c r="G567" s="136"/>
      <c r="H567" s="622"/>
      <c r="I567" s="622"/>
      <c r="J567" s="622"/>
      <c r="K567" s="622"/>
      <c r="L567" s="624"/>
      <c r="M567" s="622"/>
      <c r="N567" s="136"/>
      <c r="O567" s="622"/>
      <c r="P567" s="624"/>
      <c r="Q567" s="353"/>
      <c r="R567" s="353"/>
      <c r="S567" s="130"/>
    </row>
    <row r="568" spans="1:19" s="133" customFormat="1" x14ac:dyDescent="0.25">
      <c r="A568" s="489"/>
      <c r="B568" s="489"/>
      <c r="D568" s="622"/>
      <c r="E568" s="622"/>
      <c r="F568" s="622"/>
      <c r="G568" s="136"/>
      <c r="H568" s="622"/>
      <c r="I568" s="622"/>
      <c r="J568" s="622"/>
      <c r="K568" s="622"/>
      <c r="L568" s="624"/>
      <c r="M568" s="622"/>
      <c r="N568" s="136"/>
      <c r="O568" s="622"/>
      <c r="P568" s="624"/>
      <c r="Q568" s="353"/>
      <c r="R568" s="353"/>
      <c r="S568" s="130"/>
    </row>
    <row r="569" spans="1:19" s="133" customFormat="1" x14ac:dyDescent="0.25">
      <c r="A569" s="489"/>
      <c r="B569" s="489"/>
      <c r="D569" s="622"/>
      <c r="E569" s="622"/>
      <c r="F569" s="622"/>
      <c r="G569" s="136"/>
      <c r="H569" s="622"/>
      <c r="I569" s="622"/>
      <c r="J569" s="622"/>
      <c r="K569" s="622"/>
      <c r="L569" s="624"/>
      <c r="M569" s="622"/>
      <c r="N569" s="136"/>
      <c r="O569" s="622"/>
      <c r="P569" s="624"/>
      <c r="Q569" s="353"/>
      <c r="R569" s="353"/>
      <c r="S569" s="130"/>
    </row>
    <row r="570" spans="1:19" s="133" customFormat="1" x14ac:dyDescent="0.25">
      <c r="A570" s="489"/>
      <c r="B570" s="489"/>
      <c r="D570" s="622"/>
      <c r="E570" s="622"/>
      <c r="F570" s="622"/>
      <c r="G570" s="136"/>
      <c r="H570" s="622"/>
      <c r="I570" s="622"/>
      <c r="J570" s="622"/>
      <c r="K570" s="622"/>
      <c r="L570" s="624"/>
      <c r="M570" s="622"/>
      <c r="N570" s="136"/>
      <c r="O570" s="622"/>
      <c r="P570" s="624"/>
      <c r="Q570" s="353"/>
      <c r="R570" s="353"/>
      <c r="S570" s="130"/>
    </row>
    <row r="571" spans="1:19" s="133" customFormat="1" x14ac:dyDescent="0.25">
      <c r="A571" s="489"/>
      <c r="B571" s="489"/>
      <c r="D571" s="622"/>
      <c r="E571" s="622"/>
      <c r="F571" s="622"/>
      <c r="G571" s="136"/>
      <c r="H571" s="622"/>
      <c r="I571" s="622"/>
      <c r="J571" s="622"/>
      <c r="K571" s="622"/>
      <c r="L571" s="624"/>
      <c r="M571" s="622"/>
      <c r="N571" s="136"/>
      <c r="O571" s="622"/>
      <c r="P571" s="624"/>
      <c r="Q571" s="353"/>
      <c r="R571" s="353"/>
      <c r="S571" s="130"/>
    </row>
    <row r="572" spans="1:19" s="133" customFormat="1" x14ac:dyDescent="0.25">
      <c r="A572" s="489"/>
      <c r="B572" s="489"/>
      <c r="D572" s="622"/>
      <c r="E572" s="622"/>
      <c r="F572" s="622"/>
      <c r="G572" s="136"/>
      <c r="H572" s="622"/>
      <c r="I572" s="622"/>
      <c r="J572" s="622"/>
      <c r="K572" s="622"/>
      <c r="L572" s="624"/>
      <c r="M572" s="622"/>
      <c r="N572" s="136"/>
      <c r="O572" s="622"/>
      <c r="P572" s="624"/>
      <c r="Q572" s="353"/>
      <c r="R572" s="353"/>
      <c r="S572" s="130"/>
    </row>
    <row r="573" spans="1:19" s="133" customFormat="1" x14ac:dyDescent="0.25">
      <c r="A573" s="489"/>
      <c r="B573" s="489"/>
      <c r="D573" s="622"/>
      <c r="E573" s="622"/>
      <c r="F573" s="622"/>
      <c r="G573" s="136"/>
      <c r="H573" s="622"/>
      <c r="I573" s="622"/>
      <c r="J573" s="622"/>
      <c r="K573" s="622"/>
      <c r="L573" s="624"/>
      <c r="M573" s="622"/>
      <c r="N573" s="136"/>
      <c r="O573" s="622"/>
      <c r="P573" s="624"/>
      <c r="Q573" s="353"/>
      <c r="R573" s="353"/>
      <c r="S573" s="130"/>
    </row>
    <row r="574" spans="1:19" s="133" customFormat="1" x14ac:dyDescent="0.25">
      <c r="A574" s="489"/>
      <c r="B574" s="489"/>
      <c r="D574" s="622"/>
      <c r="E574" s="622"/>
      <c r="F574" s="622"/>
      <c r="G574" s="136"/>
      <c r="H574" s="622"/>
      <c r="I574" s="622"/>
      <c r="J574" s="622"/>
      <c r="K574" s="622"/>
      <c r="L574" s="624"/>
      <c r="M574" s="622"/>
      <c r="N574" s="136"/>
      <c r="O574" s="622"/>
      <c r="P574" s="624"/>
      <c r="Q574" s="353"/>
      <c r="R574" s="353"/>
      <c r="S574" s="130"/>
    </row>
    <row r="575" spans="1:19" s="133" customFormat="1" x14ac:dyDescent="0.25">
      <c r="A575" s="489"/>
      <c r="B575" s="489"/>
      <c r="D575" s="622"/>
      <c r="E575" s="622"/>
      <c r="F575" s="622"/>
      <c r="G575" s="136"/>
      <c r="H575" s="622"/>
      <c r="I575" s="622"/>
      <c r="J575" s="622"/>
      <c r="K575" s="622"/>
      <c r="L575" s="624"/>
      <c r="M575" s="622"/>
      <c r="N575" s="136"/>
      <c r="O575" s="622"/>
      <c r="P575" s="624"/>
      <c r="Q575" s="353"/>
      <c r="R575" s="353"/>
      <c r="S575" s="130"/>
    </row>
    <row r="576" spans="1:19" s="133" customFormat="1" x14ac:dyDescent="0.25">
      <c r="A576" s="489"/>
      <c r="B576" s="489"/>
      <c r="D576" s="622"/>
      <c r="E576" s="622"/>
      <c r="F576" s="622"/>
      <c r="G576" s="136"/>
      <c r="H576" s="622"/>
      <c r="I576" s="622"/>
      <c r="J576" s="622"/>
      <c r="K576" s="622"/>
      <c r="L576" s="624"/>
      <c r="M576" s="622"/>
      <c r="N576" s="136"/>
      <c r="O576" s="622"/>
      <c r="P576" s="624"/>
      <c r="Q576" s="353"/>
      <c r="R576" s="353"/>
      <c r="S576" s="130"/>
    </row>
    <row r="577" spans="1:19" s="133" customFormat="1" x14ac:dyDescent="0.25">
      <c r="A577" s="489"/>
      <c r="B577" s="489"/>
      <c r="D577" s="622"/>
      <c r="E577" s="622"/>
      <c r="F577" s="622"/>
      <c r="G577" s="136"/>
      <c r="H577" s="622"/>
      <c r="I577" s="622"/>
      <c r="J577" s="622"/>
      <c r="K577" s="622"/>
      <c r="L577" s="624"/>
      <c r="M577" s="622"/>
      <c r="N577" s="136"/>
      <c r="O577" s="622"/>
      <c r="P577" s="624"/>
      <c r="Q577" s="353"/>
      <c r="R577" s="353"/>
      <c r="S577" s="130"/>
    </row>
    <row r="578" spans="1:19" s="133" customFormat="1" x14ac:dyDescent="0.25">
      <c r="A578" s="489"/>
      <c r="B578" s="489"/>
      <c r="D578" s="622"/>
      <c r="E578" s="622"/>
      <c r="F578" s="622"/>
      <c r="G578" s="136"/>
      <c r="H578" s="622"/>
      <c r="I578" s="622"/>
      <c r="J578" s="622"/>
      <c r="K578" s="622"/>
      <c r="L578" s="624"/>
      <c r="M578" s="622"/>
      <c r="N578" s="136"/>
      <c r="O578" s="622"/>
      <c r="P578" s="624"/>
      <c r="Q578" s="353"/>
      <c r="R578" s="353"/>
      <c r="S578" s="130"/>
    </row>
    <row r="579" spans="1:19" s="133" customFormat="1" x14ac:dyDescent="0.25">
      <c r="A579" s="489"/>
      <c r="B579" s="489"/>
      <c r="D579" s="622"/>
      <c r="E579" s="622"/>
      <c r="F579" s="622"/>
      <c r="G579" s="136"/>
      <c r="H579" s="622"/>
      <c r="I579" s="622"/>
      <c r="J579" s="622"/>
      <c r="K579" s="622"/>
      <c r="L579" s="624"/>
      <c r="M579" s="622"/>
      <c r="N579" s="136"/>
      <c r="O579" s="622"/>
      <c r="P579" s="624"/>
      <c r="Q579" s="353"/>
      <c r="R579" s="353"/>
      <c r="S579" s="130"/>
    </row>
    <row r="580" spans="1:19" s="133" customFormat="1" x14ac:dyDescent="0.25">
      <c r="A580" s="489"/>
      <c r="B580" s="489"/>
      <c r="D580" s="622"/>
      <c r="E580" s="622"/>
      <c r="F580" s="622"/>
      <c r="G580" s="136"/>
      <c r="H580" s="622"/>
      <c r="I580" s="622"/>
      <c r="J580" s="622"/>
      <c r="K580" s="622"/>
      <c r="L580" s="624"/>
      <c r="M580" s="622"/>
      <c r="N580" s="136"/>
      <c r="O580" s="622"/>
      <c r="P580" s="624"/>
      <c r="Q580" s="353"/>
      <c r="R580" s="353"/>
      <c r="S580" s="130"/>
    </row>
    <row r="581" spans="1:19" s="133" customFormat="1" x14ac:dyDescent="0.25">
      <c r="A581" s="489"/>
      <c r="B581" s="489"/>
      <c r="D581" s="622"/>
      <c r="E581" s="622"/>
      <c r="F581" s="622"/>
      <c r="G581" s="136"/>
      <c r="H581" s="622"/>
      <c r="I581" s="622"/>
      <c r="J581" s="622"/>
      <c r="K581" s="622"/>
      <c r="L581" s="624"/>
      <c r="M581" s="622"/>
      <c r="N581" s="136"/>
      <c r="O581" s="622"/>
      <c r="P581" s="624"/>
      <c r="Q581" s="353"/>
      <c r="R581" s="353"/>
      <c r="S581" s="130"/>
    </row>
    <row r="582" spans="1:19" s="133" customFormat="1" x14ac:dyDescent="0.25">
      <c r="A582" s="489"/>
      <c r="B582" s="489"/>
      <c r="D582" s="622"/>
      <c r="E582" s="622"/>
      <c r="F582" s="622"/>
      <c r="G582" s="136"/>
      <c r="H582" s="622"/>
      <c r="I582" s="622"/>
      <c r="J582" s="622"/>
      <c r="K582" s="622"/>
      <c r="L582" s="624"/>
      <c r="M582" s="622"/>
      <c r="N582" s="136"/>
      <c r="O582" s="622"/>
      <c r="P582" s="624"/>
      <c r="Q582" s="353"/>
      <c r="R582" s="353"/>
      <c r="S582" s="130"/>
    </row>
    <row r="583" spans="1:19" s="133" customFormat="1" x14ac:dyDescent="0.25">
      <c r="A583" s="489"/>
      <c r="B583" s="489"/>
      <c r="D583" s="622"/>
      <c r="E583" s="622"/>
      <c r="F583" s="622"/>
      <c r="G583" s="136"/>
      <c r="H583" s="622"/>
      <c r="I583" s="622"/>
      <c r="J583" s="622"/>
      <c r="K583" s="622"/>
      <c r="L583" s="624"/>
      <c r="M583" s="622"/>
      <c r="N583" s="136"/>
      <c r="O583" s="622"/>
      <c r="P583" s="624"/>
      <c r="Q583" s="353"/>
      <c r="R583" s="353"/>
      <c r="S583" s="130"/>
    </row>
    <row r="584" spans="1:19" s="133" customFormat="1" x14ac:dyDescent="0.25">
      <c r="A584" s="489"/>
      <c r="B584" s="489"/>
      <c r="D584" s="622"/>
      <c r="E584" s="622"/>
      <c r="F584" s="622"/>
      <c r="G584" s="136"/>
      <c r="H584" s="622"/>
      <c r="I584" s="622"/>
      <c r="J584" s="622"/>
      <c r="K584" s="622"/>
      <c r="L584" s="624"/>
      <c r="M584" s="622"/>
      <c r="N584" s="136"/>
      <c r="O584" s="622"/>
      <c r="P584" s="624"/>
      <c r="Q584" s="353"/>
      <c r="R584" s="353"/>
      <c r="S584" s="130"/>
    </row>
    <row r="585" spans="1:19" s="133" customFormat="1" x14ac:dyDescent="0.25">
      <c r="A585" s="489"/>
      <c r="B585" s="489"/>
      <c r="D585" s="622"/>
      <c r="E585" s="622"/>
      <c r="F585" s="622"/>
      <c r="G585" s="136"/>
      <c r="H585" s="622"/>
      <c r="I585" s="622"/>
      <c r="J585" s="622"/>
      <c r="K585" s="622"/>
      <c r="L585" s="624"/>
      <c r="M585" s="622"/>
      <c r="N585" s="136"/>
      <c r="O585" s="622"/>
      <c r="P585" s="624"/>
      <c r="Q585" s="353"/>
      <c r="R585" s="353"/>
      <c r="S585" s="130"/>
    </row>
    <row r="586" spans="1:19" s="133" customFormat="1" x14ac:dyDescent="0.25">
      <c r="A586" s="489"/>
      <c r="B586" s="489"/>
      <c r="D586" s="622"/>
      <c r="E586" s="622"/>
      <c r="F586" s="622"/>
      <c r="G586" s="136"/>
      <c r="H586" s="622"/>
      <c r="I586" s="622"/>
      <c r="J586" s="622"/>
      <c r="K586" s="622"/>
      <c r="L586" s="624"/>
      <c r="M586" s="622"/>
      <c r="N586" s="136"/>
      <c r="O586" s="622"/>
      <c r="P586" s="624"/>
      <c r="Q586" s="353"/>
      <c r="R586" s="353"/>
      <c r="S586" s="130"/>
    </row>
    <row r="587" spans="1:19" s="133" customFormat="1" x14ac:dyDescent="0.25">
      <c r="A587" s="489"/>
      <c r="B587" s="489"/>
      <c r="D587" s="622"/>
      <c r="E587" s="622"/>
      <c r="F587" s="622"/>
      <c r="G587" s="136"/>
      <c r="H587" s="622"/>
      <c r="I587" s="622"/>
      <c r="J587" s="622"/>
      <c r="K587" s="622"/>
      <c r="L587" s="624"/>
      <c r="M587" s="622"/>
      <c r="N587" s="136"/>
      <c r="O587" s="622"/>
      <c r="P587" s="624"/>
      <c r="Q587" s="353"/>
      <c r="R587" s="353"/>
      <c r="S587" s="130"/>
    </row>
    <row r="588" spans="1:19" s="133" customFormat="1" x14ac:dyDescent="0.25">
      <c r="A588" s="489"/>
      <c r="B588" s="489"/>
      <c r="D588" s="622"/>
      <c r="E588" s="622"/>
      <c r="F588" s="622"/>
      <c r="G588" s="136"/>
      <c r="H588" s="622"/>
      <c r="I588" s="622"/>
      <c r="J588" s="622"/>
      <c r="K588" s="622"/>
      <c r="L588" s="624"/>
      <c r="M588" s="622"/>
      <c r="N588" s="136"/>
      <c r="O588" s="622"/>
      <c r="P588" s="624"/>
      <c r="Q588" s="353"/>
      <c r="R588" s="353"/>
      <c r="S588" s="130"/>
    </row>
    <row r="589" spans="1:19" s="133" customFormat="1" x14ac:dyDescent="0.25">
      <c r="A589" s="489"/>
      <c r="B589" s="489"/>
      <c r="D589" s="622"/>
      <c r="E589" s="622"/>
      <c r="F589" s="622"/>
      <c r="G589" s="136"/>
      <c r="H589" s="622"/>
      <c r="I589" s="622"/>
      <c r="J589" s="622"/>
      <c r="K589" s="622"/>
      <c r="L589" s="624"/>
      <c r="M589" s="622"/>
      <c r="N589" s="136"/>
      <c r="O589" s="622"/>
      <c r="P589" s="624"/>
      <c r="Q589" s="353"/>
      <c r="R589" s="353"/>
      <c r="S589" s="130"/>
    </row>
    <row r="590" spans="1:19" s="133" customFormat="1" x14ac:dyDescent="0.25">
      <c r="A590" s="489"/>
      <c r="B590" s="489"/>
      <c r="D590" s="622"/>
      <c r="E590" s="622"/>
      <c r="F590" s="622"/>
      <c r="G590" s="136"/>
      <c r="H590" s="622"/>
      <c r="I590" s="622"/>
      <c r="J590" s="622"/>
      <c r="K590" s="622"/>
      <c r="L590" s="624"/>
      <c r="M590" s="622"/>
      <c r="N590" s="136"/>
      <c r="O590" s="622"/>
      <c r="P590" s="624"/>
      <c r="Q590" s="353"/>
      <c r="R590" s="353"/>
      <c r="S590" s="130"/>
    </row>
    <row r="591" spans="1:19" s="133" customFormat="1" x14ac:dyDescent="0.25">
      <c r="A591" s="489"/>
      <c r="B591" s="489"/>
      <c r="D591" s="622"/>
      <c r="E591" s="622"/>
      <c r="F591" s="622"/>
      <c r="G591" s="136"/>
      <c r="H591" s="622"/>
      <c r="I591" s="622"/>
      <c r="J591" s="622"/>
      <c r="K591" s="622"/>
      <c r="L591" s="624"/>
      <c r="M591" s="622"/>
      <c r="N591" s="136"/>
      <c r="O591" s="622"/>
      <c r="P591" s="624"/>
      <c r="Q591" s="353"/>
      <c r="R591" s="353"/>
      <c r="S591" s="130"/>
    </row>
    <row r="592" spans="1:19" s="133" customFormat="1" x14ac:dyDescent="0.25">
      <c r="A592" s="489"/>
      <c r="B592" s="489"/>
      <c r="D592" s="622"/>
      <c r="E592" s="622"/>
      <c r="F592" s="622"/>
      <c r="G592" s="136"/>
      <c r="H592" s="622"/>
      <c r="I592" s="622"/>
      <c r="J592" s="622"/>
      <c r="K592" s="622"/>
      <c r="L592" s="624"/>
      <c r="M592" s="622"/>
      <c r="N592" s="136"/>
      <c r="O592" s="622"/>
      <c r="P592" s="624"/>
      <c r="Q592" s="353"/>
      <c r="R592" s="353"/>
      <c r="S592" s="130"/>
    </row>
    <row r="593" spans="1:19" s="133" customFormat="1" x14ac:dyDescent="0.25">
      <c r="A593" s="489"/>
      <c r="B593" s="489"/>
      <c r="D593" s="622"/>
      <c r="E593" s="622"/>
      <c r="F593" s="622"/>
      <c r="G593" s="136"/>
      <c r="H593" s="622"/>
      <c r="I593" s="622"/>
      <c r="J593" s="622"/>
      <c r="K593" s="622"/>
      <c r="L593" s="624"/>
      <c r="M593" s="622"/>
      <c r="N593" s="136"/>
      <c r="O593" s="622"/>
      <c r="P593" s="624"/>
      <c r="Q593" s="353"/>
      <c r="R593" s="353"/>
      <c r="S593" s="130"/>
    </row>
    <row r="594" spans="1:19" s="133" customFormat="1" x14ac:dyDescent="0.25">
      <c r="A594" s="489"/>
      <c r="B594" s="489"/>
      <c r="D594" s="622"/>
      <c r="E594" s="622"/>
      <c r="F594" s="622"/>
      <c r="G594" s="136"/>
      <c r="H594" s="622"/>
      <c r="I594" s="622"/>
      <c r="J594" s="622"/>
      <c r="K594" s="622"/>
      <c r="L594" s="624"/>
      <c r="M594" s="622"/>
      <c r="N594" s="136"/>
      <c r="O594" s="622"/>
      <c r="P594" s="624"/>
      <c r="Q594" s="353"/>
      <c r="R594" s="353"/>
      <c r="S594" s="130"/>
    </row>
    <row r="595" spans="1:19" s="133" customFormat="1" x14ac:dyDescent="0.25">
      <c r="A595" s="489"/>
      <c r="B595" s="489"/>
      <c r="D595" s="622"/>
      <c r="E595" s="622"/>
      <c r="F595" s="622"/>
      <c r="G595" s="136"/>
      <c r="H595" s="622"/>
      <c r="I595" s="622"/>
      <c r="J595" s="622"/>
      <c r="K595" s="622"/>
      <c r="L595" s="624"/>
      <c r="M595" s="622"/>
      <c r="N595" s="136"/>
      <c r="O595" s="622"/>
      <c r="P595" s="624"/>
      <c r="Q595" s="353"/>
      <c r="R595" s="353"/>
      <c r="S595" s="130"/>
    </row>
    <row r="596" spans="1:19" s="133" customFormat="1" x14ac:dyDescent="0.25">
      <c r="A596" s="489"/>
      <c r="B596" s="489"/>
      <c r="D596" s="622"/>
      <c r="E596" s="622"/>
      <c r="F596" s="622"/>
      <c r="G596" s="136"/>
      <c r="H596" s="622"/>
      <c r="I596" s="622"/>
      <c r="J596" s="622"/>
      <c r="K596" s="622"/>
      <c r="L596" s="624"/>
      <c r="M596" s="622"/>
      <c r="N596" s="136"/>
      <c r="O596" s="622"/>
      <c r="P596" s="624"/>
      <c r="Q596" s="353"/>
      <c r="R596" s="353"/>
      <c r="S596" s="130"/>
    </row>
    <row r="597" spans="1:19" s="133" customFormat="1" x14ac:dyDescent="0.25">
      <c r="A597" s="489"/>
      <c r="B597" s="489"/>
      <c r="D597" s="622"/>
      <c r="E597" s="622"/>
      <c r="F597" s="622"/>
      <c r="G597" s="136"/>
      <c r="H597" s="622"/>
      <c r="I597" s="622"/>
      <c r="J597" s="622"/>
      <c r="K597" s="622"/>
      <c r="L597" s="624"/>
      <c r="M597" s="622"/>
      <c r="N597" s="136"/>
      <c r="O597" s="622"/>
      <c r="P597" s="624"/>
      <c r="Q597" s="353"/>
      <c r="R597" s="353"/>
      <c r="S597" s="130"/>
    </row>
    <row r="598" spans="1:19" s="133" customFormat="1" x14ac:dyDescent="0.25">
      <c r="A598" s="489"/>
      <c r="B598" s="489"/>
      <c r="D598" s="622"/>
      <c r="E598" s="622"/>
      <c r="F598" s="622"/>
      <c r="G598" s="136"/>
      <c r="H598" s="622"/>
      <c r="I598" s="622"/>
      <c r="J598" s="622"/>
      <c r="K598" s="622"/>
      <c r="L598" s="624"/>
      <c r="M598" s="622"/>
      <c r="N598" s="136"/>
      <c r="O598" s="622"/>
      <c r="P598" s="624"/>
      <c r="Q598" s="353"/>
      <c r="R598" s="353"/>
      <c r="S598" s="130"/>
    </row>
    <row r="599" spans="1:19" s="133" customFormat="1" x14ac:dyDescent="0.25">
      <c r="A599" s="489"/>
      <c r="B599" s="489"/>
      <c r="D599" s="622"/>
      <c r="E599" s="622"/>
      <c r="F599" s="622"/>
      <c r="G599" s="136"/>
      <c r="H599" s="622"/>
      <c r="I599" s="622"/>
      <c r="J599" s="622"/>
      <c r="K599" s="622"/>
      <c r="L599" s="624"/>
      <c r="M599" s="622"/>
      <c r="N599" s="136"/>
      <c r="O599" s="622"/>
      <c r="P599" s="624"/>
      <c r="Q599" s="353"/>
      <c r="R599" s="353"/>
      <c r="S599" s="130"/>
    </row>
    <row r="600" spans="1:19" s="133" customFormat="1" x14ac:dyDescent="0.25">
      <c r="A600" s="489"/>
      <c r="B600" s="489"/>
      <c r="D600" s="622"/>
      <c r="E600" s="622"/>
      <c r="F600" s="622"/>
      <c r="G600" s="136"/>
      <c r="H600" s="622"/>
      <c r="I600" s="622"/>
      <c r="J600" s="622"/>
      <c r="K600" s="622"/>
      <c r="L600" s="624"/>
      <c r="M600" s="622"/>
      <c r="N600" s="136"/>
      <c r="O600" s="622"/>
      <c r="P600" s="624"/>
      <c r="Q600" s="353"/>
      <c r="R600" s="353"/>
      <c r="S600" s="130"/>
    </row>
    <row r="601" spans="1:19" s="133" customFormat="1" x14ac:dyDescent="0.25">
      <c r="A601" s="489"/>
      <c r="B601" s="489"/>
      <c r="D601" s="622"/>
      <c r="E601" s="622"/>
      <c r="F601" s="622"/>
      <c r="G601" s="136"/>
      <c r="H601" s="622"/>
      <c r="I601" s="622"/>
      <c r="J601" s="622"/>
      <c r="K601" s="622"/>
      <c r="L601" s="624"/>
      <c r="M601" s="622"/>
      <c r="N601" s="136"/>
      <c r="O601" s="622"/>
      <c r="P601" s="624"/>
      <c r="Q601" s="353"/>
      <c r="R601" s="353"/>
      <c r="S601" s="130"/>
    </row>
    <row r="602" spans="1:19" s="133" customFormat="1" x14ac:dyDescent="0.25">
      <c r="A602" s="489"/>
      <c r="B602" s="489"/>
      <c r="D602" s="622"/>
      <c r="E602" s="622"/>
      <c r="F602" s="622"/>
      <c r="G602" s="136"/>
      <c r="H602" s="622"/>
      <c r="I602" s="622"/>
      <c r="J602" s="622"/>
      <c r="K602" s="622"/>
      <c r="L602" s="624"/>
      <c r="M602" s="622"/>
      <c r="N602" s="136"/>
      <c r="O602" s="622"/>
      <c r="P602" s="624"/>
      <c r="Q602" s="353"/>
      <c r="R602" s="353"/>
      <c r="S602" s="130"/>
    </row>
    <row r="603" spans="1:19" s="133" customFormat="1" x14ac:dyDescent="0.25">
      <c r="A603" s="489"/>
      <c r="B603" s="489"/>
      <c r="D603" s="622"/>
      <c r="E603" s="622"/>
      <c r="F603" s="622"/>
      <c r="G603" s="136"/>
      <c r="H603" s="622"/>
      <c r="I603" s="622"/>
      <c r="J603" s="622"/>
      <c r="K603" s="622"/>
      <c r="L603" s="624"/>
      <c r="M603" s="622"/>
      <c r="N603" s="136"/>
      <c r="O603" s="622"/>
      <c r="P603" s="624"/>
      <c r="Q603" s="353"/>
      <c r="R603" s="353"/>
      <c r="S603" s="130"/>
    </row>
    <row r="604" spans="1:19" s="133" customFormat="1" x14ac:dyDescent="0.25">
      <c r="A604" s="489"/>
      <c r="B604" s="489"/>
      <c r="D604" s="622"/>
      <c r="E604" s="622"/>
      <c r="F604" s="622"/>
      <c r="G604" s="136"/>
      <c r="H604" s="622"/>
      <c r="I604" s="622"/>
      <c r="J604" s="622"/>
      <c r="K604" s="622"/>
      <c r="L604" s="624"/>
      <c r="M604" s="622"/>
      <c r="N604" s="136"/>
      <c r="O604" s="622"/>
      <c r="P604" s="624"/>
      <c r="Q604" s="353"/>
      <c r="R604" s="353"/>
      <c r="S604" s="130"/>
    </row>
    <row r="605" spans="1:19" s="133" customFormat="1" x14ac:dyDescent="0.25">
      <c r="A605" s="489"/>
      <c r="B605" s="489"/>
      <c r="D605" s="622"/>
      <c r="E605" s="622"/>
      <c r="F605" s="622"/>
      <c r="G605" s="136"/>
      <c r="H605" s="622"/>
      <c r="I605" s="622"/>
      <c r="J605" s="622"/>
      <c r="K605" s="622"/>
      <c r="L605" s="624"/>
      <c r="M605" s="622"/>
      <c r="N605" s="136"/>
      <c r="O605" s="622"/>
      <c r="P605" s="624"/>
      <c r="Q605" s="353"/>
      <c r="R605" s="353"/>
      <c r="S605" s="130"/>
    </row>
    <row r="606" spans="1:19" s="133" customFormat="1" x14ac:dyDescent="0.25">
      <c r="A606" s="489"/>
      <c r="B606" s="489"/>
      <c r="D606" s="622"/>
      <c r="E606" s="622"/>
      <c r="F606" s="622"/>
      <c r="G606" s="136"/>
      <c r="H606" s="622"/>
      <c r="I606" s="622"/>
      <c r="J606" s="622"/>
      <c r="K606" s="622"/>
      <c r="L606" s="624"/>
      <c r="M606" s="622"/>
      <c r="N606" s="136"/>
      <c r="O606" s="622"/>
      <c r="P606" s="624"/>
      <c r="Q606" s="353"/>
      <c r="R606" s="353"/>
      <c r="S606" s="130"/>
    </row>
    <row r="607" spans="1:19" s="133" customFormat="1" x14ac:dyDescent="0.25">
      <c r="A607" s="489"/>
      <c r="B607" s="489"/>
      <c r="D607" s="622"/>
      <c r="E607" s="622"/>
      <c r="F607" s="622"/>
      <c r="G607" s="136"/>
      <c r="H607" s="622"/>
      <c r="I607" s="622"/>
      <c r="J607" s="622"/>
      <c r="K607" s="622"/>
      <c r="L607" s="624"/>
      <c r="M607" s="622"/>
      <c r="N607" s="136"/>
      <c r="O607" s="622"/>
      <c r="P607" s="624"/>
      <c r="Q607" s="353"/>
      <c r="R607" s="353"/>
      <c r="S607" s="130"/>
    </row>
    <row r="608" spans="1:19" s="133" customFormat="1" x14ac:dyDescent="0.25">
      <c r="A608" s="489"/>
      <c r="B608" s="489"/>
      <c r="D608" s="622"/>
      <c r="E608" s="622"/>
      <c r="F608" s="622"/>
      <c r="G608" s="136"/>
      <c r="H608" s="622"/>
      <c r="I608" s="622"/>
      <c r="J608" s="622"/>
      <c r="K608" s="622"/>
      <c r="L608" s="624"/>
      <c r="M608" s="622"/>
      <c r="N608" s="136"/>
      <c r="O608" s="622"/>
      <c r="P608" s="624"/>
      <c r="Q608" s="353"/>
      <c r="R608" s="353"/>
      <c r="S608" s="130"/>
    </row>
    <row r="609" spans="1:19" s="133" customFormat="1" x14ac:dyDescent="0.25">
      <c r="A609" s="489"/>
      <c r="B609" s="489"/>
      <c r="D609" s="622"/>
      <c r="E609" s="622"/>
      <c r="F609" s="622"/>
      <c r="G609" s="136"/>
      <c r="H609" s="622"/>
      <c r="I609" s="622"/>
      <c r="J609" s="622"/>
      <c r="K609" s="622"/>
      <c r="L609" s="624"/>
      <c r="M609" s="622"/>
      <c r="N609" s="136"/>
      <c r="O609" s="622"/>
      <c r="P609" s="624"/>
      <c r="Q609" s="353"/>
      <c r="R609" s="353"/>
      <c r="S609" s="130"/>
    </row>
    <row r="610" spans="1:19" s="133" customFormat="1" x14ac:dyDescent="0.25">
      <c r="A610" s="489"/>
      <c r="B610" s="489"/>
      <c r="D610" s="622"/>
      <c r="E610" s="622"/>
      <c r="F610" s="622"/>
      <c r="G610" s="136"/>
      <c r="H610" s="622"/>
      <c r="I610" s="622"/>
      <c r="J610" s="622"/>
      <c r="K610" s="622"/>
      <c r="L610" s="624"/>
      <c r="M610" s="622"/>
      <c r="N610" s="136"/>
      <c r="O610" s="622"/>
      <c r="P610" s="624"/>
      <c r="Q610" s="353"/>
      <c r="R610" s="353"/>
      <c r="S610" s="130"/>
    </row>
    <row r="611" spans="1:19" s="133" customFormat="1" x14ac:dyDescent="0.25">
      <c r="A611" s="489"/>
      <c r="B611" s="489"/>
      <c r="D611" s="622"/>
      <c r="E611" s="622"/>
      <c r="F611" s="622"/>
      <c r="G611" s="136"/>
      <c r="H611" s="622"/>
      <c r="I611" s="622"/>
      <c r="J611" s="622"/>
      <c r="K611" s="622"/>
      <c r="L611" s="624"/>
      <c r="M611" s="622"/>
      <c r="N611" s="136"/>
      <c r="O611" s="622"/>
      <c r="P611" s="624"/>
      <c r="Q611" s="353"/>
      <c r="R611" s="353"/>
      <c r="S611" s="130"/>
    </row>
    <row r="612" spans="1:19" s="133" customFormat="1" x14ac:dyDescent="0.25">
      <c r="A612" s="489"/>
      <c r="B612" s="489"/>
      <c r="D612" s="622"/>
      <c r="E612" s="622"/>
      <c r="F612" s="622"/>
      <c r="G612" s="136"/>
      <c r="H612" s="622"/>
      <c r="I612" s="622"/>
      <c r="J612" s="622"/>
      <c r="K612" s="622"/>
      <c r="L612" s="624"/>
      <c r="M612" s="622"/>
      <c r="N612" s="136"/>
      <c r="O612" s="622"/>
      <c r="P612" s="624"/>
      <c r="Q612" s="353"/>
      <c r="R612" s="353"/>
      <c r="S612" s="130"/>
    </row>
    <row r="613" spans="1:19" s="133" customFormat="1" x14ac:dyDescent="0.25">
      <c r="A613" s="489"/>
      <c r="B613" s="489"/>
      <c r="D613" s="622"/>
      <c r="E613" s="622"/>
      <c r="F613" s="622"/>
      <c r="G613" s="136"/>
      <c r="H613" s="622"/>
      <c r="I613" s="622"/>
      <c r="J613" s="622"/>
      <c r="K613" s="622"/>
      <c r="L613" s="624"/>
      <c r="M613" s="622"/>
      <c r="N613" s="136"/>
      <c r="O613" s="622"/>
      <c r="P613" s="624"/>
      <c r="Q613" s="353"/>
      <c r="R613" s="353"/>
      <c r="S613" s="130"/>
    </row>
    <row r="614" spans="1:19" s="133" customFormat="1" x14ac:dyDescent="0.25">
      <c r="A614" s="489"/>
      <c r="B614" s="489"/>
      <c r="D614" s="622"/>
      <c r="E614" s="622"/>
      <c r="F614" s="622"/>
      <c r="G614" s="136"/>
      <c r="H614" s="622"/>
      <c r="I614" s="622"/>
      <c r="J614" s="622"/>
      <c r="K614" s="622"/>
      <c r="L614" s="624"/>
      <c r="M614" s="622"/>
      <c r="N614" s="136"/>
      <c r="O614" s="622"/>
      <c r="P614" s="624"/>
      <c r="Q614" s="353"/>
      <c r="R614" s="353"/>
      <c r="S614" s="130"/>
    </row>
    <row r="615" spans="1:19" s="133" customFormat="1" x14ac:dyDescent="0.25">
      <c r="A615" s="489"/>
      <c r="B615" s="489"/>
      <c r="D615" s="622"/>
      <c r="E615" s="622"/>
      <c r="F615" s="622"/>
      <c r="G615" s="136"/>
      <c r="H615" s="622"/>
      <c r="I615" s="622"/>
      <c r="J615" s="622"/>
      <c r="K615" s="622"/>
      <c r="L615" s="624"/>
      <c r="M615" s="622"/>
      <c r="N615" s="136"/>
      <c r="O615" s="622"/>
      <c r="P615" s="624"/>
      <c r="Q615" s="353"/>
      <c r="R615" s="353"/>
      <c r="S615" s="130"/>
    </row>
    <row r="616" spans="1:19" s="133" customFormat="1" x14ac:dyDescent="0.25">
      <c r="A616" s="489"/>
      <c r="B616" s="489"/>
      <c r="D616" s="622"/>
      <c r="E616" s="622"/>
      <c r="F616" s="622"/>
      <c r="G616" s="136"/>
      <c r="H616" s="622"/>
      <c r="I616" s="622"/>
      <c r="J616" s="622"/>
      <c r="K616" s="622"/>
      <c r="L616" s="624"/>
      <c r="M616" s="622"/>
      <c r="N616" s="136"/>
      <c r="O616" s="622"/>
      <c r="P616" s="624"/>
      <c r="Q616" s="353"/>
      <c r="R616" s="353"/>
      <c r="S616" s="130"/>
    </row>
    <row r="617" spans="1:19" s="133" customFormat="1" x14ac:dyDescent="0.25">
      <c r="A617" s="489"/>
      <c r="B617" s="489"/>
      <c r="D617" s="622"/>
      <c r="E617" s="622"/>
      <c r="F617" s="622"/>
      <c r="G617" s="136"/>
      <c r="H617" s="622"/>
      <c r="I617" s="622"/>
      <c r="J617" s="622"/>
      <c r="K617" s="622"/>
      <c r="L617" s="624"/>
      <c r="M617" s="622"/>
      <c r="N617" s="136"/>
      <c r="O617" s="622"/>
      <c r="P617" s="624"/>
      <c r="Q617" s="353"/>
      <c r="R617" s="353"/>
      <c r="S617" s="130"/>
    </row>
    <row r="618" spans="1:19" s="133" customFormat="1" x14ac:dyDescent="0.25">
      <c r="A618" s="489"/>
      <c r="B618" s="489"/>
      <c r="D618" s="622"/>
      <c r="E618" s="622"/>
      <c r="F618" s="622"/>
      <c r="G618" s="136"/>
      <c r="H618" s="622"/>
      <c r="I618" s="622"/>
      <c r="J618" s="622"/>
      <c r="K618" s="622"/>
      <c r="L618" s="624"/>
      <c r="M618" s="622"/>
      <c r="N618" s="136"/>
      <c r="O618" s="622"/>
      <c r="P618" s="624"/>
      <c r="Q618" s="353"/>
      <c r="R618" s="353"/>
      <c r="S618" s="130"/>
    </row>
    <row r="619" spans="1:19" s="133" customFormat="1" x14ac:dyDescent="0.25">
      <c r="A619" s="489"/>
      <c r="B619" s="489"/>
      <c r="D619" s="622"/>
      <c r="E619" s="622"/>
      <c r="F619" s="622"/>
      <c r="G619" s="136"/>
      <c r="H619" s="622"/>
      <c r="I619" s="622"/>
      <c r="J619" s="622"/>
      <c r="K619" s="622"/>
      <c r="L619" s="624"/>
      <c r="M619" s="622"/>
      <c r="N619" s="136"/>
      <c r="O619" s="622"/>
      <c r="P619" s="624"/>
      <c r="Q619" s="353"/>
      <c r="R619" s="353"/>
      <c r="S619" s="130"/>
    </row>
    <row r="620" spans="1:19" s="133" customFormat="1" x14ac:dyDescent="0.25">
      <c r="A620" s="489"/>
      <c r="B620" s="489"/>
      <c r="D620" s="622"/>
      <c r="E620" s="622"/>
      <c r="F620" s="622"/>
      <c r="G620" s="136"/>
      <c r="H620" s="622"/>
      <c r="I620" s="622"/>
      <c r="J620" s="622"/>
      <c r="K620" s="622"/>
      <c r="L620" s="624"/>
      <c r="M620" s="622"/>
      <c r="N620" s="136"/>
      <c r="O620" s="622"/>
      <c r="P620" s="624"/>
      <c r="Q620" s="353"/>
      <c r="R620" s="353"/>
      <c r="S620" s="130"/>
    </row>
    <row r="621" spans="1:19" s="133" customFormat="1" x14ac:dyDescent="0.25">
      <c r="A621" s="489"/>
      <c r="B621" s="489"/>
      <c r="D621" s="622"/>
      <c r="E621" s="622"/>
      <c r="F621" s="622"/>
      <c r="G621" s="136"/>
      <c r="H621" s="622"/>
      <c r="I621" s="622"/>
      <c r="J621" s="622"/>
      <c r="K621" s="622"/>
      <c r="L621" s="624"/>
      <c r="M621" s="622"/>
      <c r="N621" s="136"/>
      <c r="O621" s="622"/>
      <c r="P621" s="624"/>
      <c r="Q621" s="353"/>
      <c r="R621" s="353"/>
      <c r="S621" s="130"/>
    </row>
    <row r="622" spans="1:19" s="133" customFormat="1" x14ac:dyDescent="0.25">
      <c r="A622" s="489"/>
      <c r="B622" s="489"/>
      <c r="D622" s="622"/>
      <c r="E622" s="622"/>
      <c r="F622" s="622"/>
      <c r="G622" s="136"/>
      <c r="H622" s="622"/>
      <c r="I622" s="622"/>
      <c r="J622" s="622"/>
      <c r="K622" s="622"/>
      <c r="L622" s="624"/>
      <c r="M622" s="622"/>
      <c r="N622" s="136"/>
      <c r="O622" s="622"/>
      <c r="P622" s="624"/>
      <c r="Q622" s="353"/>
      <c r="R622" s="353"/>
      <c r="S622" s="130"/>
    </row>
    <row r="623" spans="1:19" s="133" customFormat="1" x14ac:dyDescent="0.25">
      <c r="A623" s="489"/>
      <c r="B623" s="489"/>
      <c r="D623" s="622"/>
      <c r="E623" s="622"/>
      <c r="F623" s="622"/>
      <c r="G623" s="136"/>
      <c r="H623" s="622"/>
      <c r="I623" s="622"/>
      <c r="J623" s="622"/>
      <c r="K623" s="622"/>
      <c r="L623" s="624"/>
      <c r="M623" s="622"/>
      <c r="N623" s="136"/>
      <c r="O623" s="622"/>
      <c r="P623" s="624"/>
      <c r="Q623" s="353"/>
      <c r="R623" s="353"/>
      <c r="S623" s="130"/>
    </row>
    <row r="624" spans="1:19" s="133" customFormat="1" x14ac:dyDescent="0.25">
      <c r="A624" s="489"/>
      <c r="B624" s="489"/>
      <c r="D624" s="622"/>
      <c r="E624" s="622"/>
      <c r="F624" s="622"/>
      <c r="G624" s="136"/>
      <c r="H624" s="622"/>
      <c r="I624" s="622"/>
      <c r="J624" s="622"/>
      <c r="K624" s="622"/>
      <c r="L624" s="624"/>
      <c r="M624" s="622"/>
      <c r="N624" s="136"/>
      <c r="O624" s="622"/>
      <c r="P624" s="624"/>
      <c r="Q624" s="353"/>
      <c r="R624" s="353"/>
      <c r="S624" s="130"/>
    </row>
    <row r="625" spans="1:19" s="133" customFormat="1" x14ac:dyDescent="0.25">
      <c r="A625" s="489"/>
      <c r="B625" s="489"/>
      <c r="D625" s="622"/>
      <c r="E625" s="622"/>
      <c r="F625" s="622"/>
      <c r="G625" s="136"/>
      <c r="H625" s="622"/>
      <c r="I625" s="622"/>
      <c r="J625" s="622"/>
      <c r="K625" s="622"/>
      <c r="L625" s="624"/>
      <c r="M625" s="622"/>
      <c r="N625" s="136"/>
      <c r="O625" s="622"/>
      <c r="P625" s="624"/>
      <c r="Q625" s="353"/>
      <c r="R625" s="353"/>
      <c r="S625" s="130"/>
    </row>
    <row r="626" spans="1:19" s="133" customFormat="1" x14ac:dyDescent="0.25">
      <c r="A626" s="489"/>
      <c r="B626" s="489"/>
      <c r="D626" s="622"/>
      <c r="E626" s="622"/>
      <c r="F626" s="622"/>
      <c r="G626" s="136"/>
      <c r="H626" s="622"/>
      <c r="I626" s="622"/>
      <c r="J626" s="622"/>
      <c r="K626" s="622"/>
      <c r="L626" s="624"/>
      <c r="M626" s="622"/>
      <c r="N626" s="136"/>
      <c r="O626" s="622"/>
      <c r="P626" s="624"/>
      <c r="Q626" s="353"/>
      <c r="R626" s="353"/>
      <c r="S626" s="130"/>
    </row>
    <row r="627" spans="1:19" s="133" customFormat="1" x14ac:dyDescent="0.25">
      <c r="A627" s="489"/>
      <c r="B627" s="489"/>
      <c r="D627" s="622"/>
      <c r="E627" s="622"/>
      <c r="F627" s="622"/>
      <c r="G627" s="136"/>
      <c r="H627" s="622"/>
      <c r="I627" s="622"/>
      <c r="J627" s="622"/>
      <c r="K627" s="622"/>
      <c r="L627" s="624"/>
      <c r="M627" s="622"/>
      <c r="N627" s="136"/>
      <c r="O627" s="622"/>
      <c r="P627" s="624"/>
      <c r="Q627" s="353"/>
      <c r="R627" s="353"/>
      <c r="S627" s="130"/>
    </row>
    <row r="628" spans="1:19" s="133" customFormat="1" x14ac:dyDescent="0.25">
      <c r="A628" s="489"/>
      <c r="B628" s="489"/>
      <c r="D628" s="622"/>
      <c r="E628" s="622"/>
      <c r="F628" s="622"/>
      <c r="G628" s="136"/>
      <c r="H628" s="622"/>
      <c r="I628" s="622"/>
      <c r="J628" s="622"/>
      <c r="K628" s="622"/>
      <c r="L628" s="624"/>
      <c r="M628" s="622"/>
      <c r="N628" s="136"/>
      <c r="O628" s="622"/>
      <c r="P628" s="624"/>
      <c r="Q628" s="353"/>
      <c r="R628" s="353"/>
      <c r="S628" s="130"/>
    </row>
    <row r="629" spans="1:19" s="133" customFormat="1" x14ac:dyDescent="0.25">
      <c r="A629" s="489"/>
      <c r="B629" s="489"/>
      <c r="D629" s="622"/>
      <c r="E629" s="622"/>
      <c r="F629" s="622"/>
      <c r="G629" s="136"/>
      <c r="H629" s="622"/>
      <c r="I629" s="622"/>
      <c r="J629" s="622"/>
      <c r="K629" s="622"/>
      <c r="L629" s="624"/>
      <c r="M629" s="622"/>
      <c r="N629" s="136"/>
      <c r="O629" s="622"/>
      <c r="P629" s="624"/>
      <c r="Q629" s="353"/>
      <c r="R629" s="353"/>
      <c r="S629" s="130"/>
    </row>
    <row r="630" spans="1:19" s="133" customFormat="1" x14ac:dyDescent="0.25">
      <c r="A630" s="489"/>
      <c r="B630" s="489"/>
      <c r="D630" s="622"/>
      <c r="E630" s="622"/>
      <c r="F630" s="622"/>
      <c r="G630" s="136"/>
      <c r="H630" s="622"/>
      <c r="I630" s="622"/>
      <c r="J630" s="622"/>
      <c r="K630" s="622"/>
      <c r="L630" s="624"/>
      <c r="M630" s="622"/>
      <c r="N630" s="136"/>
      <c r="O630" s="622"/>
      <c r="P630" s="624"/>
      <c r="Q630" s="353"/>
      <c r="R630" s="353"/>
      <c r="S630" s="130"/>
    </row>
    <row r="631" spans="1:19" s="133" customFormat="1" x14ac:dyDescent="0.25">
      <c r="A631" s="489"/>
      <c r="B631" s="489"/>
      <c r="D631" s="622"/>
      <c r="E631" s="622"/>
      <c r="F631" s="622"/>
      <c r="G631" s="136"/>
      <c r="H631" s="622"/>
      <c r="I631" s="622"/>
      <c r="J631" s="622"/>
      <c r="K631" s="622"/>
      <c r="L631" s="624"/>
      <c r="M631" s="622"/>
      <c r="N631" s="136"/>
      <c r="O631" s="622"/>
      <c r="P631" s="624"/>
      <c r="Q631" s="353"/>
      <c r="R631" s="353"/>
      <c r="S631" s="130"/>
    </row>
    <row r="632" spans="1:19" s="133" customFormat="1" x14ac:dyDescent="0.25">
      <c r="A632" s="489"/>
      <c r="B632" s="489"/>
      <c r="D632" s="622"/>
      <c r="E632" s="622"/>
      <c r="F632" s="622"/>
      <c r="G632" s="136"/>
      <c r="H632" s="622"/>
      <c r="I632" s="622"/>
      <c r="J632" s="622"/>
      <c r="K632" s="622"/>
      <c r="L632" s="624"/>
      <c r="M632" s="622"/>
      <c r="N632" s="136"/>
      <c r="O632" s="622"/>
      <c r="P632" s="624"/>
      <c r="Q632" s="353"/>
      <c r="R632" s="353"/>
      <c r="S632" s="130"/>
    </row>
    <row r="633" spans="1:19" s="133" customFormat="1" x14ac:dyDescent="0.25">
      <c r="A633" s="489"/>
      <c r="B633" s="489"/>
      <c r="D633" s="622"/>
      <c r="E633" s="622"/>
      <c r="F633" s="622"/>
      <c r="G633" s="136"/>
      <c r="H633" s="622"/>
      <c r="I633" s="622"/>
      <c r="J633" s="622"/>
      <c r="K633" s="622"/>
      <c r="L633" s="624"/>
      <c r="M633" s="622"/>
      <c r="N633" s="136"/>
      <c r="O633" s="622"/>
      <c r="P633" s="624"/>
      <c r="Q633" s="353"/>
      <c r="R633" s="353"/>
      <c r="S633" s="130"/>
    </row>
    <row r="634" spans="1:19" s="133" customFormat="1" x14ac:dyDescent="0.25">
      <c r="A634" s="489"/>
      <c r="B634" s="489"/>
      <c r="D634" s="622"/>
      <c r="E634" s="622"/>
      <c r="F634" s="622"/>
      <c r="G634" s="136"/>
      <c r="H634" s="622"/>
      <c r="I634" s="622"/>
      <c r="J634" s="622"/>
      <c r="K634" s="622"/>
      <c r="L634" s="624"/>
      <c r="M634" s="622"/>
      <c r="N634" s="136"/>
      <c r="O634" s="622"/>
      <c r="P634" s="624"/>
      <c r="Q634" s="353"/>
      <c r="R634" s="353"/>
      <c r="S634" s="130"/>
    </row>
    <row r="635" spans="1:19" s="133" customFormat="1" x14ac:dyDescent="0.25">
      <c r="A635" s="489"/>
      <c r="B635" s="489"/>
      <c r="D635" s="622"/>
      <c r="E635" s="622"/>
      <c r="F635" s="622"/>
      <c r="G635" s="136"/>
      <c r="H635" s="622"/>
      <c r="I635" s="622"/>
      <c r="J635" s="622"/>
      <c r="K635" s="622"/>
      <c r="L635" s="624"/>
      <c r="M635" s="622"/>
      <c r="N635" s="136"/>
      <c r="O635" s="622"/>
      <c r="P635" s="624"/>
      <c r="Q635" s="353"/>
      <c r="R635" s="353"/>
      <c r="S635" s="130"/>
    </row>
    <row r="636" spans="1:19" s="133" customFormat="1" x14ac:dyDescent="0.25">
      <c r="A636" s="489"/>
      <c r="B636" s="489"/>
      <c r="D636" s="622"/>
      <c r="E636" s="622"/>
      <c r="F636" s="622"/>
      <c r="G636" s="136"/>
      <c r="H636" s="622"/>
      <c r="I636" s="622"/>
      <c r="J636" s="622"/>
      <c r="K636" s="622"/>
      <c r="L636" s="624"/>
      <c r="M636" s="622"/>
      <c r="N636" s="136"/>
      <c r="O636" s="622"/>
      <c r="P636" s="624"/>
      <c r="Q636" s="353"/>
      <c r="R636" s="353"/>
      <c r="S636" s="130"/>
    </row>
    <row r="637" spans="1:19" s="133" customFormat="1" x14ac:dyDescent="0.25">
      <c r="A637" s="489"/>
      <c r="B637" s="489"/>
      <c r="D637" s="622"/>
      <c r="E637" s="622"/>
      <c r="F637" s="622"/>
      <c r="G637" s="136"/>
      <c r="H637" s="622"/>
      <c r="I637" s="622"/>
      <c r="J637" s="622"/>
      <c r="K637" s="622"/>
      <c r="L637" s="624"/>
      <c r="M637" s="622"/>
      <c r="N637" s="136"/>
      <c r="O637" s="622"/>
      <c r="P637" s="624"/>
      <c r="Q637" s="353"/>
      <c r="R637" s="353"/>
      <c r="S637" s="130"/>
    </row>
    <row r="638" spans="1:19" s="133" customFormat="1" x14ac:dyDescent="0.25">
      <c r="A638" s="489"/>
      <c r="B638" s="489"/>
      <c r="D638" s="622"/>
      <c r="E638" s="622"/>
      <c r="F638" s="622"/>
      <c r="G638" s="136"/>
      <c r="H638" s="622"/>
      <c r="I638" s="622"/>
      <c r="J638" s="622"/>
      <c r="K638" s="622"/>
      <c r="L638" s="624"/>
      <c r="M638" s="622"/>
      <c r="N638" s="136"/>
      <c r="O638" s="622"/>
      <c r="P638" s="624"/>
      <c r="Q638" s="353"/>
      <c r="R638" s="353"/>
      <c r="S638" s="130"/>
    </row>
    <row r="639" spans="1:19" s="133" customFormat="1" x14ac:dyDescent="0.25">
      <c r="A639" s="489"/>
      <c r="B639" s="489"/>
      <c r="D639" s="622"/>
      <c r="E639" s="622"/>
      <c r="F639" s="622"/>
      <c r="G639" s="136"/>
      <c r="H639" s="622"/>
      <c r="I639" s="622"/>
      <c r="J639" s="622"/>
      <c r="K639" s="622"/>
      <c r="L639" s="624"/>
      <c r="M639" s="622"/>
      <c r="N639" s="136"/>
      <c r="O639" s="622"/>
      <c r="P639" s="624"/>
      <c r="Q639" s="353"/>
      <c r="R639" s="353"/>
      <c r="S639" s="130"/>
    </row>
    <row r="640" spans="1:19" s="133" customFormat="1" x14ac:dyDescent="0.25">
      <c r="A640" s="489"/>
      <c r="B640" s="489"/>
      <c r="D640" s="622"/>
      <c r="E640" s="622"/>
      <c r="F640" s="622"/>
      <c r="G640" s="136"/>
      <c r="H640" s="622"/>
      <c r="I640" s="622"/>
      <c r="J640" s="622"/>
      <c r="K640" s="622"/>
      <c r="L640" s="624"/>
      <c r="M640" s="622"/>
      <c r="N640" s="136"/>
      <c r="O640" s="622"/>
      <c r="P640" s="624"/>
      <c r="Q640" s="353"/>
      <c r="R640" s="353"/>
      <c r="S640" s="130"/>
    </row>
    <row r="641" spans="1:19" s="133" customFormat="1" x14ac:dyDescent="0.25">
      <c r="A641" s="489"/>
      <c r="B641" s="489"/>
      <c r="D641" s="622"/>
      <c r="E641" s="622"/>
      <c r="F641" s="622"/>
      <c r="G641" s="136"/>
      <c r="H641" s="622"/>
      <c r="I641" s="622"/>
      <c r="J641" s="622"/>
      <c r="K641" s="622"/>
      <c r="L641" s="624"/>
      <c r="M641" s="622"/>
      <c r="N641" s="136"/>
      <c r="O641" s="622"/>
      <c r="P641" s="624"/>
      <c r="Q641" s="353"/>
      <c r="R641" s="353"/>
      <c r="S641" s="130"/>
    </row>
    <row r="642" spans="1:19" s="133" customFormat="1" x14ac:dyDescent="0.25">
      <c r="A642" s="489"/>
      <c r="B642" s="489"/>
      <c r="D642" s="622"/>
      <c r="E642" s="622"/>
      <c r="F642" s="622"/>
      <c r="G642" s="136"/>
      <c r="H642" s="622"/>
      <c r="I642" s="622"/>
      <c r="J642" s="622"/>
      <c r="K642" s="622"/>
      <c r="L642" s="624"/>
      <c r="M642" s="622"/>
      <c r="N642" s="136"/>
      <c r="O642" s="622"/>
      <c r="P642" s="624"/>
      <c r="Q642" s="353"/>
      <c r="R642" s="353"/>
      <c r="S642" s="130"/>
    </row>
    <row r="643" spans="1:19" s="133" customFormat="1" x14ac:dyDescent="0.25">
      <c r="A643" s="489"/>
      <c r="B643" s="489"/>
      <c r="D643" s="622"/>
      <c r="E643" s="622"/>
      <c r="F643" s="622"/>
      <c r="G643" s="136"/>
      <c r="H643" s="622"/>
      <c r="I643" s="622"/>
      <c r="J643" s="622"/>
      <c r="K643" s="622"/>
      <c r="L643" s="624"/>
      <c r="M643" s="622"/>
      <c r="N643" s="136"/>
      <c r="O643" s="622"/>
      <c r="P643" s="624"/>
      <c r="Q643" s="353"/>
      <c r="R643" s="353"/>
      <c r="S643" s="130"/>
    </row>
    <row r="644" spans="1:19" s="133" customFormat="1" x14ac:dyDescent="0.25">
      <c r="A644" s="489"/>
      <c r="B644" s="489"/>
      <c r="D644" s="622"/>
      <c r="E644" s="622"/>
      <c r="F644" s="622"/>
      <c r="G644" s="136"/>
      <c r="H644" s="622"/>
      <c r="I644" s="622"/>
      <c r="J644" s="622"/>
      <c r="K644" s="622"/>
      <c r="L644" s="624"/>
      <c r="M644" s="622"/>
      <c r="N644" s="136"/>
      <c r="O644" s="622"/>
      <c r="P644" s="624"/>
      <c r="Q644" s="353"/>
      <c r="R644" s="353"/>
      <c r="S644" s="130"/>
    </row>
    <row r="645" spans="1:19" s="133" customFormat="1" x14ac:dyDescent="0.25">
      <c r="A645" s="489"/>
      <c r="B645" s="489"/>
      <c r="D645" s="622"/>
      <c r="E645" s="622"/>
      <c r="F645" s="622"/>
      <c r="G645" s="136"/>
      <c r="H645" s="622"/>
      <c r="I645" s="622"/>
      <c r="J645" s="622"/>
      <c r="K645" s="622"/>
      <c r="L645" s="624"/>
      <c r="M645" s="622"/>
      <c r="N645" s="136"/>
      <c r="O645" s="622"/>
      <c r="P645" s="624"/>
      <c r="Q645" s="353"/>
      <c r="R645" s="353"/>
      <c r="S645" s="130"/>
    </row>
    <row r="646" spans="1:19" s="133" customFormat="1" x14ac:dyDescent="0.25">
      <c r="A646" s="489"/>
      <c r="B646" s="489"/>
      <c r="D646" s="622"/>
      <c r="E646" s="622"/>
      <c r="F646" s="622"/>
      <c r="G646" s="136"/>
      <c r="H646" s="622"/>
      <c r="I646" s="622"/>
      <c r="J646" s="622"/>
      <c r="K646" s="622"/>
      <c r="L646" s="624"/>
      <c r="M646" s="622"/>
      <c r="N646" s="136"/>
      <c r="O646" s="622"/>
      <c r="P646" s="624"/>
      <c r="Q646" s="353"/>
      <c r="R646" s="353"/>
      <c r="S646" s="130"/>
    </row>
    <row r="647" spans="1:19" s="133" customFormat="1" x14ac:dyDescent="0.25">
      <c r="A647" s="489"/>
      <c r="B647" s="489"/>
      <c r="D647" s="622"/>
      <c r="E647" s="622"/>
      <c r="F647" s="622"/>
      <c r="G647" s="136"/>
      <c r="H647" s="622"/>
      <c r="I647" s="622"/>
      <c r="J647" s="622"/>
      <c r="K647" s="622"/>
      <c r="L647" s="624"/>
      <c r="M647" s="622"/>
      <c r="N647" s="136"/>
      <c r="O647" s="622"/>
      <c r="P647" s="624"/>
      <c r="Q647" s="353"/>
      <c r="R647" s="353"/>
      <c r="S647" s="130"/>
    </row>
    <row r="648" spans="1:19" s="133" customFormat="1" x14ac:dyDescent="0.25">
      <c r="A648" s="489"/>
      <c r="B648" s="489"/>
      <c r="D648" s="622"/>
      <c r="E648" s="622"/>
      <c r="F648" s="622"/>
      <c r="G648" s="136"/>
      <c r="H648" s="622"/>
      <c r="I648" s="622"/>
      <c r="J648" s="622"/>
      <c r="K648" s="622"/>
      <c r="L648" s="624"/>
      <c r="M648" s="622"/>
      <c r="N648" s="136"/>
      <c r="O648" s="622"/>
      <c r="P648" s="624"/>
      <c r="Q648" s="353"/>
      <c r="R648" s="353"/>
      <c r="S648" s="130"/>
    </row>
    <row r="649" spans="1:19" s="133" customFormat="1" x14ac:dyDescent="0.25">
      <c r="A649" s="489"/>
      <c r="B649" s="489"/>
      <c r="D649" s="622"/>
      <c r="E649" s="622"/>
      <c r="F649" s="622"/>
      <c r="G649" s="136"/>
      <c r="H649" s="622"/>
      <c r="I649" s="622"/>
      <c r="J649" s="622"/>
      <c r="K649" s="622"/>
      <c r="L649" s="624"/>
      <c r="M649" s="622"/>
      <c r="N649" s="136"/>
      <c r="O649" s="622"/>
      <c r="P649" s="624"/>
      <c r="Q649" s="353"/>
      <c r="R649" s="353"/>
      <c r="S649" s="130"/>
    </row>
    <row r="650" spans="1:19" s="133" customFormat="1" x14ac:dyDescent="0.25">
      <c r="A650" s="489"/>
      <c r="B650" s="489"/>
      <c r="D650" s="622"/>
      <c r="E650" s="622"/>
      <c r="F650" s="622"/>
      <c r="G650" s="136"/>
      <c r="H650" s="622"/>
      <c r="I650" s="622"/>
      <c r="J650" s="622"/>
      <c r="K650" s="622"/>
      <c r="L650" s="624"/>
      <c r="M650" s="622"/>
      <c r="N650" s="136"/>
      <c r="O650" s="622"/>
      <c r="P650" s="624"/>
      <c r="Q650" s="353"/>
      <c r="R650" s="353"/>
      <c r="S650" s="130"/>
    </row>
    <row r="651" spans="1:19" s="133" customFormat="1" x14ac:dyDescent="0.25">
      <c r="A651" s="489"/>
      <c r="B651" s="489"/>
      <c r="D651" s="622"/>
      <c r="E651" s="622"/>
      <c r="F651" s="622"/>
      <c r="G651" s="136"/>
      <c r="H651" s="622"/>
      <c r="I651" s="622"/>
      <c r="J651" s="622"/>
      <c r="K651" s="622"/>
      <c r="L651" s="624"/>
      <c r="M651" s="622"/>
      <c r="N651" s="136"/>
      <c r="O651" s="622"/>
      <c r="P651" s="624"/>
      <c r="Q651" s="353"/>
      <c r="R651" s="353"/>
      <c r="S651" s="130"/>
    </row>
    <row r="652" spans="1:19" s="133" customFormat="1" x14ac:dyDescent="0.25">
      <c r="A652" s="489"/>
      <c r="B652" s="489"/>
      <c r="D652" s="622"/>
      <c r="E652" s="622"/>
      <c r="F652" s="622"/>
      <c r="G652" s="136"/>
      <c r="H652" s="622"/>
      <c r="I652" s="622"/>
      <c r="J652" s="622"/>
      <c r="K652" s="622"/>
      <c r="L652" s="624"/>
      <c r="M652" s="622"/>
      <c r="N652" s="136"/>
      <c r="O652" s="622"/>
      <c r="P652" s="624"/>
      <c r="Q652" s="353"/>
      <c r="R652" s="353"/>
      <c r="S652" s="130"/>
    </row>
    <row r="653" spans="1:19" s="133" customFormat="1" x14ac:dyDescent="0.25">
      <c r="A653" s="489"/>
      <c r="B653" s="489"/>
      <c r="D653" s="622"/>
      <c r="E653" s="622"/>
      <c r="F653" s="622"/>
      <c r="G653" s="136"/>
      <c r="H653" s="622"/>
      <c r="I653" s="622"/>
      <c r="J653" s="622"/>
      <c r="K653" s="622"/>
      <c r="L653" s="624"/>
      <c r="M653" s="622"/>
      <c r="N653" s="136"/>
      <c r="O653" s="622"/>
      <c r="P653" s="624"/>
      <c r="Q653" s="353"/>
      <c r="R653" s="353"/>
      <c r="S653" s="130"/>
    </row>
    <row r="654" spans="1:19" s="133" customFormat="1" x14ac:dyDescent="0.25">
      <c r="A654" s="489"/>
      <c r="B654" s="489"/>
      <c r="D654" s="622"/>
      <c r="E654" s="622"/>
      <c r="F654" s="622"/>
      <c r="G654" s="136"/>
      <c r="H654" s="622"/>
      <c r="I654" s="622"/>
      <c r="J654" s="622"/>
      <c r="K654" s="622"/>
      <c r="L654" s="624"/>
      <c r="M654" s="622"/>
      <c r="N654" s="136"/>
      <c r="O654" s="622"/>
      <c r="P654" s="624"/>
      <c r="Q654" s="353"/>
      <c r="R654" s="353"/>
      <c r="S654" s="130"/>
    </row>
    <row r="655" spans="1:19" s="133" customFormat="1" x14ac:dyDescent="0.25">
      <c r="A655" s="489"/>
      <c r="B655" s="489"/>
      <c r="D655" s="622"/>
      <c r="E655" s="622"/>
      <c r="F655" s="622"/>
      <c r="G655" s="136"/>
      <c r="H655" s="622"/>
      <c r="I655" s="622"/>
      <c r="J655" s="622"/>
      <c r="K655" s="622"/>
      <c r="L655" s="624"/>
      <c r="M655" s="622"/>
      <c r="N655" s="136"/>
      <c r="O655" s="622"/>
      <c r="P655" s="624"/>
      <c r="Q655" s="353"/>
      <c r="R655" s="353"/>
      <c r="S655" s="130"/>
    </row>
    <row r="656" spans="1:19" s="133" customFormat="1" x14ac:dyDescent="0.25">
      <c r="A656" s="489"/>
      <c r="B656" s="489"/>
      <c r="D656" s="622"/>
      <c r="E656" s="622"/>
      <c r="F656" s="622"/>
      <c r="G656" s="136"/>
      <c r="H656" s="622"/>
      <c r="I656" s="622"/>
      <c r="J656" s="622"/>
      <c r="K656" s="622"/>
      <c r="L656" s="624"/>
      <c r="M656" s="622"/>
      <c r="N656" s="136"/>
      <c r="O656" s="622"/>
      <c r="P656" s="624"/>
      <c r="Q656" s="353"/>
      <c r="R656" s="353"/>
      <c r="S656" s="130"/>
    </row>
    <row r="657" spans="1:19" s="133" customFormat="1" x14ac:dyDescent="0.25">
      <c r="A657" s="489"/>
      <c r="B657" s="489"/>
      <c r="D657" s="622"/>
      <c r="E657" s="622"/>
      <c r="F657" s="622"/>
      <c r="G657" s="136"/>
      <c r="H657" s="622"/>
      <c r="I657" s="622"/>
      <c r="J657" s="622"/>
      <c r="K657" s="622"/>
      <c r="L657" s="624"/>
      <c r="M657" s="622"/>
      <c r="N657" s="136"/>
      <c r="O657" s="622"/>
      <c r="P657" s="624"/>
      <c r="Q657" s="353"/>
      <c r="R657" s="353"/>
      <c r="S657" s="130"/>
    </row>
    <row r="658" spans="1:19" s="133" customFormat="1" x14ac:dyDescent="0.25">
      <c r="A658" s="489"/>
      <c r="B658" s="489"/>
      <c r="D658" s="622"/>
      <c r="E658" s="622"/>
      <c r="F658" s="622"/>
      <c r="G658" s="136"/>
      <c r="H658" s="622"/>
      <c r="I658" s="622"/>
      <c r="J658" s="622"/>
      <c r="K658" s="622"/>
      <c r="L658" s="624"/>
      <c r="M658" s="622"/>
      <c r="N658" s="136"/>
      <c r="O658" s="622"/>
      <c r="P658" s="624"/>
      <c r="Q658" s="353"/>
      <c r="R658" s="353"/>
      <c r="S658" s="130"/>
    </row>
    <row r="659" spans="1:19" s="133" customFormat="1" x14ac:dyDescent="0.25">
      <c r="A659" s="489"/>
      <c r="B659" s="489"/>
      <c r="D659" s="622"/>
      <c r="E659" s="622"/>
      <c r="F659" s="622"/>
      <c r="G659" s="136"/>
      <c r="H659" s="622"/>
      <c r="I659" s="622"/>
      <c r="J659" s="622"/>
      <c r="K659" s="622"/>
      <c r="L659" s="624"/>
      <c r="M659" s="622"/>
      <c r="N659" s="136"/>
      <c r="O659" s="622"/>
      <c r="P659" s="624"/>
      <c r="Q659" s="353"/>
      <c r="R659" s="353"/>
      <c r="S659" s="130"/>
    </row>
    <row r="660" spans="1:19" s="133" customFormat="1" x14ac:dyDescent="0.25">
      <c r="A660" s="489"/>
      <c r="B660" s="489"/>
      <c r="D660" s="622"/>
      <c r="E660" s="622"/>
      <c r="F660" s="622"/>
      <c r="G660" s="136"/>
      <c r="H660" s="622"/>
      <c r="I660" s="622"/>
      <c r="J660" s="622"/>
      <c r="K660" s="622"/>
      <c r="L660" s="624"/>
      <c r="M660" s="622"/>
      <c r="N660" s="136"/>
      <c r="O660" s="622"/>
      <c r="P660" s="624"/>
      <c r="Q660" s="353"/>
      <c r="R660" s="353"/>
      <c r="S660" s="130"/>
    </row>
    <row r="661" spans="1:19" s="133" customFormat="1" x14ac:dyDescent="0.25">
      <c r="A661" s="489"/>
      <c r="B661" s="489"/>
      <c r="D661" s="622"/>
      <c r="E661" s="622"/>
      <c r="F661" s="622"/>
      <c r="G661" s="136"/>
      <c r="H661" s="622"/>
      <c r="I661" s="622"/>
      <c r="J661" s="622"/>
      <c r="K661" s="622"/>
      <c r="L661" s="624"/>
      <c r="M661" s="622"/>
      <c r="N661" s="136"/>
      <c r="O661" s="622"/>
      <c r="P661" s="624"/>
      <c r="Q661" s="353"/>
      <c r="R661" s="353"/>
      <c r="S661" s="130"/>
    </row>
    <row r="662" spans="1:19" s="133" customFormat="1" x14ac:dyDescent="0.25">
      <c r="A662" s="489"/>
      <c r="B662" s="489"/>
      <c r="D662" s="622"/>
      <c r="E662" s="622"/>
      <c r="F662" s="622"/>
      <c r="G662" s="136"/>
      <c r="H662" s="622"/>
      <c r="I662" s="622"/>
      <c r="J662" s="622"/>
      <c r="K662" s="622"/>
      <c r="L662" s="624"/>
      <c r="M662" s="622"/>
      <c r="N662" s="136"/>
      <c r="O662" s="622"/>
      <c r="P662" s="624"/>
      <c r="Q662" s="353"/>
      <c r="R662" s="353"/>
      <c r="S662" s="130"/>
    </row>
    <row r="663" spans="1:19" s="133" customFormat="1" x14ac:dyDescent="0.25">
      <c r="A663" s="489"/>
      <c r="B663" s="489"/>
      <c r="D663" s="622"/>
      <c r="E663" s="622"/>
      <c r="F663" s="622"/>
      <c r="G663" s="136"/>
      <c r="H663" s="622"/>
      <c r="I663" s="622"/>
      <c r="J663" s="622"/>
      <c r="K663" s="622"/>
      <c r="L663" s="624"/>
      <c r="M663" s="622"/>
      <c r="N663" s="136"/>
      <c r="O663" s="622"/>
      <c r="P663" s="624"/>
      <c r="Q663" s="353"/>
      <c r="R663" s="353"/>
      <c r="S663" s="130"/>
    </row>
    <row r="664" spans="1:19" s="133" customFormat="1" x14ac:dyDescent="0.25">
      <c r="A664" s="489"/>
      <c r="B664" s="489"/>
      <c r="D664" s="622"/>
      <c r="E664" s="622"/>
      <c r="F664" s="622"/>
      <c r="G664" s="136"/>
      <c r="H664" s="622"/>
      <c r="I664" s="622"/>
      <c r="J664" s="622"/>
      <c r="K664" s="622"/>
      <c r="L664" s="624"/>
      <c r="M664" s="622"/>
      <c r="N664" s="136"/>
      <c r="O664" s="622"/>
      <c r="P664" s="624"/>
      <c r="Q664" s="353"/>
      <c r="R664" s="353"/>
      <c r="S664" s="130"/>
    </row>
    <row r="665" spans="1:19" s="133" customFormat="1" x14ac:dyDescent="0.25">
      <c r="A665" s="489"/>
      <c r="B665" s="489"/>
      <c r="D665" s="622"/>
      <c r="E665" s="622"/>
      <c r="F665" s="622"/>
      <c r="G665" s="136"/>
      <c r="H665" s="622"/>
      <c r="I665" s="622"/>
      <c r="J665" s="622"/>
      <c r="K665" s="622"/>
      <c r="L665" s="624"/>
      <c r="M665" s="622"/>
      <c r="N665" s="136"/>
      <c r="O665" s="622"/>
      <c r="P665" s="624"/>
      <c r="Q665" s="353"/>
      <c r="R665" s="353"/>
      <c r="S665" s="130"/>
    </row>
    <row r="666" spans="1:19" s="133" customFormat="1" x14ac:dyDescent="0.25">
      <c r="A666" s="489"/>
      <c r="B666" s="489"/>
      <c r="D666" s="622"/>
      <c r="E666" s="622"/>
      <c r="F666" s="622"/>
      <c r="G666" s="136"/>
      <c r="H666" s="622"/>
      <c r="I666" s="622"/>
      <c r="J666" s="622"/>
      <c r="K666" s="622"/>
      <c r="L666" s="624"/>
      <c r="M666" s="622"/>
      <c r="N666" s="136"/>
      <c r="O666" s="622"/>
      <c r="P666" s="624"/>
      <c r="Q666" s="353"/>
      <c r="R666" s="353"/>
      <c r="S666" s="130"/>
    </row>
    <row r="667" spans="1:19" s="133" customFormat="1" x14ac:dyDescent="0.25">
      <c r="A667" s="489"/>
      <c r="B667" s="489"/>
      <c r="D667" s="622"/>
      <c r="E667" s="622"/>
      <c r="F667" s="622"/>
      <c r="G667" s="136"/>
      <c r="H667" s="622"/>
      <c r="I667" s="622"/>
      <c r="J667" s="622"/>
      <c r="K667" s="622"/>
      <c r="L667" s="624"/>
      <c r="M667" s="622"/>
      <c r="N667" s="136"/>
      <c r="O667" s="622"/>
      <c r="P667" s="624"/>
      <c r="Q667" s="353"/>
      <c r="R667" s="353"/>
      <c r="S667" s="130"/>
    </row>
    <row r="668" spans="1:19" s="133" customFormat="1" x14ac:dyDescent="0.25">
      <c r="A668" s="489"/>
      <c r="B668" s="489"/>
      <c r="D668" s="622"/>
      <c r="E668" s="622"/>
      <c r="F668" s="622"/>
      <c r="G668" s="136"/>
      <c r="H668" s="622"/>
      <c r="I668" s="622"/>
      <c r="J668" s="622"/>
      <c r="K668" s="622"/>
      <c r="L668" s="624"/>
      <c r="M668" s="622"/>
      <c r="N668" s="136"/>
      <c r="O668" s="622"/>
      <c r="P668" s="624"/>
      <c r="Q668" s="353"/>
      <c r="R668" s="353"/>
      <c r="S668" s="130"/>
    </row>
    <row r="669" spans="1:19" s="133" customFormat="1" x14ac:dyDescent="0.25">
      <c r="A669" s="489"/>
      <c r="B669" s="489"/>
      <c r="D669" s="622"/>
      <c r="E669" s="622"/>
      <c r="F669" s="622"/>
      <c r="G669" s="136"/>
      <c r="H669" s="622"/>
      <c r="I669" s="622"/>
      <c r="J669" s="622"/>
      <c r="K669" s="622"/>
      <c r="L669" s="624"/>
      <c r="M669" s="622"/>
      <c r="N669" s="136"/>
      <c r="O669" s="622"/>
      <c r="P669" s="624"/>
      <c r="Q669" s="353"/>
      <c r="R669" s="353"/>
      <c r="S669" s="130"/>
    </row>
    <row r="670" spans="1:19" s="133" customFormat="1" x14ac:dyDescent="0.25">
      <c r="A670" s="489"/>
      <c r="B670" s="489"/>
      <c r="D670" s="622"/>
      <c r="E670" s="622"/>
      <c r="F670" s="622"/>
      <c r="G670" s="136"/>
      <c r="H670" s="622"/>
      <c r="I670" s="622"/>
      <c r="J670" s="622"/>
      <c r="K670" s="622"/>
      <c r="L670" s="624"/>
      <c r="M670" s="622"/>
      <c r="N670" s="136"/>
      <c r="O670" s="622"/>
      <c r="P670" s="624"/>
      <c r="Q670" s="353"/>
      <c r="R670" s="353"/>
      <c r="S670" s="130"/>
    </row>
    <row r="671" spans="1:19" s="133" customFormat="1" x14ac:dyDescent="0.25">
      <c r="A671" s="489"/>
      <c r="B671" s="489"/>
      <c r="D671" s="622"/>
      <c r="E671" s="622"/>
      <c r="F671" s="622"/>
      <c r="G671" s="136"/>
      <c r="H671" s="622"/>
      <c r="I671" s="622"/>
      <c r="J671" s="622"/>
      <c r="K671" s="622"/>
      <c r="L671" s="624"/>
      <c r="M671" s="622"/>
      <c r="N671" s="136"/>
      <c r="O671" s="622"/>
      <c r="P671" s="624"/>
      <c r="Q671" s="353"/>
      <c r="R671" s="353"/>
      <c r="S671" s="130"/>
    </row>
    <row r="672" spans="1:19" s="133" customFormat="1" x14ac:dyDescent="0.25">
      <c r="A672" s="489"/>
      <c r="B672" s="489"/>
      <c r="D672" s="622"/>
      <c r="E672" s="622"/>
      <c r="F672" s="622"/>
      <c r="G672" s="136"/>
      <c r="H672" s="622"/>
      <c r="I672" s="622"/>
      <c r="J672" s="622"/>
      <c r="K672" s="622"/>
      <c r="L672" s="624"/>
      <c r="M672" s="622"/>
      <c r="N672" s="136"/>
      <c r="O672" s="622"/>
      <c r="P672" s="624"/>
      <c r="Q672" s="353"/>
      <c r="R672" s="353"/>
      <c r="S672" s="130"/>
    </row>
    <row r="673" spans="1:19" s="133" customFormat="1" x14ac:dyDescent="0.25">
      <c r="A673" s="489"/>
      <c r="B673" s="489"/>
      <c r="D673" s="622"/>
      <c r="E673" s="622"/>
      <c r="F673" s="622"/>
      <c r="G673" s="136"/>
      <c r="H673" s="622"/>
      <c r="I673" s="622"/>
      <c r="J673" s="622"/>
      <c r="K673" s="622"/>
      <c r="L673" s="624"/>
      <c r="M673" s="622"/>
      <c r="N673" s="136"/>
      <c r="O673" s="622"/>
      <c r="P673" s="624"/>
      <c r="Q673" s="353"/>
      <c r="R673" s="353"/>
      <c r="S673" s="130"/>
    </row>
    <row r="674" spans="1:19" s="133" customFormat="1" x14ac:dyDescent="0.25">
      <c r="A674" s="489"/>
      <c r="B674" s="489"/>
      <c r="D674" s="622"/>
      <c r="E674" s="622"/>
      <c r="F674" s="622"/>
      <c r="G674" s="136"/>
      <c r="H674" s="622"/>
      <c r="I674" s="622"/>
      <c r="J674" s="622"/>
      <c r="K674" s="622"/>
      <c r="L674" s="624"/>
      <c r="M674" s="622"/>
      <c r="N674" s="136"/>
      <c r="O674" s="622"/>
      <c r="P674" s="624"/>
      <c r="Q674" s="353"/>
      <c r="R674" s="353"/>
      <c r="S674" s="130"/>
    </row>
    <row r="675" spans="1:19" s="133" customFormat="1" x14ac:dyDescent="0.25">
      <c r="A675" s="489"/>
      <c r="B675" s="489"/>
      <c r="D675" s="622"/>
      <c r="E675" s="622"/>
      <c r="F675" s="622"/>
      <c r="G675" s="136"/>
      <c r="H675" s="622"/>
      <c r="I675" s="622"/>
      <c r="J675" s="622"/>
      <c r="K675" s="622"/>
      <c r="L675" s="624"/>
      <c r="M675" s="622"/>
      <c r="N675" s="136"/>
      <c r="O675" s="622"/>
      <c r="P675" s="624"/>
      <c r="Q675" s="353"/>
      <c r="R675" s="353"/>
      <c r="S675" s="130"/>
    </row>
    <row r="676" spans="1:19" s="133" customFormat="1" x14ac:dyDescent="0.25">
      <c r="A676" s="489"/>
      <c r="B676" s="489"/>
      <c r="D676" s="622"/>
      <c r="E676" s="622"/>
      <c r="F676" s="622"/>
      <c r="G676" s="136"/>
      <c r="H676" s="622"/>
      <c r="I676" s="622"/>
      <c r="J676" s="622"/>
      <c r="K676" s="622"/>
      <c r="L676" s="624"/>
      <c r="M676" s="622"/>
      <c r="N676" s="136"/>
      <c r="O676" s="622"/>
      <c r="P676" s="624"/>
      <c r="Q676" s="353"/>
      <c r="R676" s="353"/>
      <c r="S676" s="130"/>
    </row>
    <row r="677" spans="1:19" s="133" customFormat="1" x14ac:dyDescent="0.25">
      <c r="A677" s="489"/>
      <c r="B677" s="489"/>
      <c r="D677" s="622"/>
      <c r="E677" s="622"/>
      <c r="F677" s="622"/>
      <c r="G677" s="136"/>
      <c r="H677" s="622"/>
      <c r="I677" s="622"/>
      <c r="J677" s="622"/>
      <c r="K677" s="622"/>
      <c r="L677" s="624"/>
      <c r="M677" s="622"/>
      <c r="N677" s="136"/>
      <c r="O677" s="622"/>
      <c r="P677" s="624"/>
      <c r="Q677" s="353"/>
      <c r="R677" s="353"/>
      <c r="S677" s="130"/>
    </row>
    <row r="678" spans="1:19" s="133" customFormat="1" x14ac:dyDescent="0.25">
      <c r="A678" s="489"/>
      <c r="B678" s="489"/>
      <c r="D678" s="622"/>
      <c r="E678" s="622"/>
      <c r="F678" s="622"/>
      <c r="G678" s="136"/>
      <c r="H678" s="622"/>
      <c r="I678" s="622"/>
      <c r="J678" s="622"/>
      <c r="K678" s="622"/>
      <c r="L678" s="624"/>
      <c r="M678" s="622"/>
      <c r="N678" s="136"/>
      <c r="O678" s="622"/>
      <c r="P678" s="624"/>
      <c r="Q678" s="353"/>
      <c r="R678" s="353"/>
      <c r="S678" s="130"/>
    </row>
    <row r="679" spans="1:19" s="133" customFormat="1" x14ac:dyDescent="0.25">
      <c r="A679" s="489"/>
      <c r="B679" s="489"/>
      <c r="D679" s="622"/>
      <c r="E679" s="622"/>
      <c r="F679" s="622"/>
      <c r="G679" s="136"/>
      <c r="H679" s="622"/>
      <c r="I679" s="622"/>
      <c r="J679" s="622"/>
      <c r="K679" s="622"/>
      <c r="L679" s="624"/>
      <c r="M679" s="622"/>
      <c r="N679" s="136"/>
      <c r="O679" s="622"/>
      <c r="P679" s="624"/>
      <c r="Q679" s="353"/>
      <c r="R679" s="353"/>
      <c r="S679" s="130"/>
    </row>
    <row r="680" spans="1:19" s="133" customFormat="1" x14ac:dyDescent="0.25">
      <c r="A680" s="489"/>
      <c r="B680" s="489"/>
      <c r="D680" s="622"/>
      <c r="E680" s="622"/>
      <c r="F680" s="622"/>
      <c r="G680" s="136"/>
      <c r="H680" s="622"/>
      <c r="I680" s="622"/>
      <c r="J680" s="622"/>
      <c r="K680" s="622"/>
      <c r="L680" s="624"/>
      <c r="M680" s="622"/>
      <c r="N680" s="136"/>
      <c r="O680" s="622"/>
      <c r="P680" s="624"/>
      <c r="Q680" s="353"/>
      <c r="R680" s="353"/>
      <c r="S680" s="130"/>
    </row>
    <row r="681" spans="1:19" s="133" customFormat="1" x14ac:dyDescent="0.25">
      <c r="A681" s="489"/>
      <c r="B681" s="489"/>
      <c r="D681" s="622"/>
      <c r="E681" s="622"/>
      <c r="F681" s="622"/>
      <c r="G681" s="136"/>
      <c r="H681" s="622"/>
      <c r="I681" s="622"/>
      <c r="J681" s="622"/>
      <c r="K681" s="622"/>
      <c r="L681" s="624"/>
      <c r="M681" s="622"/>
      <c r="N681" s="136"/>
      <c r="O681" s="622"/>
      <c r="P681" s="624"/>
      <c r="Q681" s="353"/>
      <c r="R681" s="353"/>
      <c r="S681" s="130"/>
    </row>
    <row r="682" spans="1:19" s="133" customFormat="1" x14ac:dyDescent="0.25">
      <c r="A682" s="489"/>
      <c r="B682" s="489"/>
      <c r="D682" s="622"/>
      <c r="E682" s="622"/>
      <c r="F682" s="622"/>
      <c r="G682" s="136"/>
      <c r="H682" s="622"/>
      <c r="I682" s="622"/>
      <c r="J682" s="622"/>
      <c r="K682" s="622"/>
      <c r="L682" s="624"/>
      <c r="M682" s="622"/>
      <c r="N682" s="136"/>
      <c r="O682" s="622"/>
      <c r="P682" s="624"/>
      <c r="Q682" s="353"/>
      <c r="R682" s="353"/>
      <c r="S682" s="130"/>
    </row>
    <row r="683" spans="1:19" s="133" customFormat="1" x14ac:dyDescent="0.25">
      <c r="A683" s="489"/>
      <c r="B683" s="489"/>
      <c r="D683" s="622"/>
      <c r="E683" s="622"/>
      <c r="F683" s="622"/>
      <c r="G683" s="136"/>
      <c r="H683" s="622"/>
      <c r="I683" s="622"/>
      <c r="J683" s="622"/>
      <c r="K683" s="622"/>
      <c r="L683" s="624"/>
      <c r="M683" s="622"/>
      <c r="N683" s="136"/>
      <c r="O683" s="622"/>
      <c r="P683" s="624"/>
      <c r="Q683" s="353"/>
      <c r="R683" s="353"/>
      <c r="S683" s="130"/>
    </row>
    <row r="684" spans="1:19" s="133" customFormat="1" x14ac:dyDescent="0.25">
      <c r="A684" s="489"/>
      <c r="B684" s="489"/>
      <c r="D684" s="622"/>
      <c r="E684" s="622"/>
      <c r="F684" s="622"/>
      <c r="G684" s="136"/>
      <c r="H684" s="622"/>
      <c r="I684" s="622"/>
      <c r="J684" s="622"/>
      <c r="K684" s="622"/>
      <c r="L684" s="624"/>
      <c r="M684" s="622"/>
      <c r="N684" s="136"/>
      <c r="O684" s="622"/>
      <c r="P684" s="624"/>
      <c r="Q684" s="353"/>
      <c r="R684" s="353"/>
      <c r="S684" s="130"/>
    </row>
    <row r="685" spans="1:19" s="133" customFormat="1" x14ac:dyDescent="0.25">
      <c r="A685" s="489"/>
      <c r="B685" s="489"/>
      <c r="D685" s="622"/>
      <c r="E685" s="622"/>
      <c r="F685" s="622"/>
      <c r="G685" s="136"/>
      <c r="H685" s="622"/>
      <c r="I685" s="622"/>
      <c r="J685" s="622"/>
      <c r="K685" s="622"/>
      <c r="L685" s="624"/>
      <c r="M685" s="622"/>
      <c r="N685" s="136"/>
      <c r="O685" s="622"/>
      <c r="P685" s="624"/>
      <c r="Q685" s="353"/>
      <c r="R685" s="353"/>
      <c r="S685" s="130"/>
    </row>
    <row r="686" spans="1:19" s="133" customFormat="1" x14ac:dyDescent="0.25">
      <c r="A686" s="489"/>
      <c r="B686" s="489"/>
      <c r="D686" s="622"/>
      <c r="E686" s="622"/>
      <c r="F686" s="622"/>
      <c r="G686" s="136"/>
      <c r="H686" s="622"/>
      <c r="I686" s="622"/>
      <c r="J686" s="622"/>
      <c r="K686" s="622"/>
      <c r="L686" s="624"/>
      <c r="M686" s="622"/>
      <c r="N686" s="136"/>
      <c r="O686" s="622"/>
      <c r="P686" s="624"/>
      <c r="Q686" s="353"/>
      <c r="R686" s="353"/>
      <c r="S686" s="130"/>
    </row>
    <row r="687" spans="1:19" s="133" customFormat="1" x14ac:dyDescent="0.25">
      <c r="A687" s="489"/>
      <c r="B687" s="489"/>
      <c r="D687" s="622"/>
      <c r="E687" s="622"/>
      <c r="F687" s="622"/>
      <c r="G687" s="136"/>
      <c r="H687" s="622"/>
      <c r="I687" s="622"/>
      <c r="J687" s="622"/>
      <c r="K687" s="622"/>
      <c r="L687" s="624"/>
      <c r="M687" s="622"/>
      <c r="N687" s="136"/>
      <c r="O687" s="622"/>
      <c r="P687" s="624"/>
      <c r="Q687" s="353"/>
      <c r="R687" s="353"/>
      <c r="S687" s="130"/>
    </row>
    <row r="688" spans="1:19" s="133" customFormat="1" x14ac:dyDescent="0.25">
      <c r="A688" s="489"/>
      <c r="B688" s="489"/>
      <c r="D688" s="622"/>
      <c r="E688" s="622"/>
      <c r="F688" s="622"/>
      <c r="G688" s="136"/>
      <c r="H688" s="622"/>
      <c r="I688" s="622"/>
      <c r="J688" s="622"/>
      <c r="K688" s="622"/>
      <c r="L688" s="624"/>
      <c r="M688" s="622"/>
      <c r="N688" s="136"/>
      <c r="O688" s="622"/>
      <c r="P688" s="624"/>
      <c r="Q688" s="353"/>
      <c r="R688" s="353"/>
      <c r="S688" s="130"/>
    </row>
    <row r="689" spans="1:19" s="133" customFormat="1" x14ac:dyDescent="0.25">
      <c r="A689" s="489"/>
      <c r="B689" s="489"/>
      <c r="D689" s="622"/>
      <c r="E689" s="622"/>
      <c r="F689" s="622"/>
      <c r="G689" s="136"/>
      <c r="H689" s="622"/>
      <c r="I689" s="622"/>
      <c r="J689" s="622"/>
      <c r="K689" s="622"/>
      <c r="L689" s="624"/>
      <c r="M689" s="622"/>
      <c r="N689" s="136"/>
      <c r="O689" s="622"/>
      <c r="P689" s="624"/>
      <c r="Q689" s="353"/>
      <c r="R689" s="353"/>
      <c r="S689" s="130"/>
    </row>
    <row r="690" spans="1:19" s="133" customFormat="1" x14ac:dyDescent="0.25">
      <c r="A690" s="489"/>
      <c r="B690" s="489"/>
      <c r="D690" s="622"/>
      <c r="E690" s="622"/>
      <c r="F690" s="622"/>
      <c r="G690" s="136"/>
      <c r="H690" s="622"/>
      <c r="I690" s="622"/>
      <c r="J690" s="622"/>
      <c r="K690" s="622"/>
      <c r="L690" s="624"/>
      <c r="M690" s="622"/>
      <c r="N690" s="136"/>
      <c r="O690" s="622"/>
      <c r="P690" s="624"/>
      <c r="Q690" s="353"/>
      <c r="R690" s="353"/>
      <c r="S690" s="130"/>
    </row>
    <row r="691" spans="1:19" s="133" customFormat="1" x14ac:dyDescent="0.25">
      <c r="A691" s="489"/>
      <c r="B691" s="489"/>
      <c r="D691" s="622"/>
      <c r="E691" s="622"/>
      <c r="F691" s="622"/>
      <c r="G691" s="136"/>
      <c r="H691" s="622"/>
      <c r="I691" s="622"/>
      <c r="J691" s="622"/>
      <c r="K691" s="622"/>
      <c r="L691" s="624"/>
      <c r="M691" s="622"/>
      <c r="N691" s="136"/>
      <c r="O691" s="622"/>
      <c r="P691" s="624"/>
      <c r="Q691" s="353"/>
      <c r="R691" s="353"/>
      <c r="S691" s="130"/>
    </row>
    <row r="692" spans="1:19" s="133" customFormat="1" x14ac:dyDescent="0.25">
      <c r="A692" s="489"/>
      <c r="B692" s="489"/>
      <c r="D692" s="622"/>
      <c r="E692" s="622"/>
      <c r="F692" s="622"/>
      <c r="G692" s="136"/>
      <c r="H692" s="622"/>
      <c r="I692" s="622"/>
      <c r="J692" s="622"/>
      <c r="K692" s="622"/>
      <c r="L692" s="624"/>
      <c r="M692" s="622"/>
      <c r="N692" s="136"/>
      <c r="O692" s="622"/>
      <c r="P692" s="624"/>
      <c r="Q692" s="353"/>
      <c r="R692" s="353"/>
      <c r="S692" s="130"/>
    </row>
    <row r="693" spans="1:19" s="133" customFormat="1" x14ac:dyDescent="0.25">
      <c r="A693" s="489"/>
      <c r="B693" s="489"/>
      <c r="D693" s="622"/>
      <c r="E693" s="622"/>
      <c r="F693" s="622"/>
      <c r="G693" s="136"/>
      <c r="H693" s="622"/>
      <c r="I693" s="622"/>
      <c r="J693" s="622"/>
      <c r="K693" s="622"/>
      <c r="L693" s="624"/>
      <c r="M693" s="622"/>
      <c r="N693" s="136"/>
      <c r="O693" s="622"/>
      <c r="P693" s="624"/>
      <c r="Q693" s="353"/>
      <c r="R693" s="353"/>
      <c r="S693" s="130"/>
    </row>
    <row r="694" spans="1:19" s="133" customFormat="1" x14ac:dyDescent="0.25">
      <c r="A694" s="489"/>
      <c r="B694" s="489"/>
      <c r="D694" s="622"/>
      <c r="E694" s="622"/>
      <c r="F694" s="622"/>
      <c r="G694" s="136"/>
      <c r="H694" s="622"/>
      <c r="I694" s="622"/>
      <c r="J694" s="622"/>
      <c r="K694" s="622"/>
      <c r="L694" s="624"/>
      <c r="M694" s="622"/>
      <c r="N694" s="136"/>
      <c r="O694" s="622"/>
      <c r="P694" s="624"/>
      <c r="Q694" s="353"/>
      <c r="R694" s="353"/>
      <c r="S694" s="130"/>
    </row>
    <row r="695" spans="1:19" s="133" customFormat="1" x14ac:dyDescent="0.25">
      <c r="A695" s="489"/>
      <c r="B695" s="489"/>
      <c r="D695" s="622"/>
      <c r="E695" s="622"/>
      <c r="F695" s="622"/>
      <c r="G695" s="136"/>
      <c r="H695" s="622"/>
      <c r="I695" s="622"/>
      <c r="J695" s="622"/>
      <c r="K695" s="622"/>
      <c r="L695" s="624"/>
      <c r="M695" s="622"/>
      <c r="N695" s="136"/>
      <c r="O695" s="622"/>
      <c r="P695" s="624"/>
      <c r="Q695" s="353"/>
      <c r="R695" s="353"/>
      <c r="S695" s="130"/>
    </row>
    <row r="696" spans="1:19" s="133" customFormat="1" x14ac:dyDescent="0.25">
      <c r="A696" s="489"/>
      <c r="B696" s="489"/>
      <c r="D696" s="622"/>
      <c r="E696" s="622"/>
      <c r="F696" s="622"/>
      <c r="G696" s="136"/>
      <c r="H696" s="622"/>
      <c r="I696" s="622"/>
      <c r="J696" s="622"/>
      <c r="K696" s="622"/>
      <c r="L696" s="624"/>
      <c r="M696" s="622"/>
      <c r="N696" s="136"/>
      <c r="O696" s="622"/>
      <c r="P696" s="624"/>
      <c r="Q696" s="353"/>
      <c r="R696" s="353"/>
      <c r="S696" s="130"/>
    </row>
    <row r="697" spans="1:19" s="133" customFormat="1" x14ac:dyDescent="0.25">
      <c r="A697" s="489"/>
      <c r="B697" s="489"/>
      <c r="D697" s="622"/>
      <c r="E697" s="622"/>
      <c r="F697" s="622"/>
      <c r="G697" s="136"/>
      <c r="H697" s="622"/>
      <c r="I697" s="622"/>
      <c r="J697" s="622"/>
      <c r="K697" s="622"/>
      <c r="L697" s="624"/>
      <c r="M697" s="622"/>
      <c r="N697" s="136"/>
      <c r="O697" s="622"/>
      <c r="P697" s="624"/>
      <c r="Q697" s="353"/>
      <c r="R697" s="353"/>
      <c r="S697" s="130"/>
    </row>
    <row r="698" spans="1:19" s="133" customFormat="1" x14ac:dyDescent="0.25">
      <c r="A698" s="489"/>
      <c r="B698" s="489"/>
      <c r="D698" s="622"/>
      <c r="E698" s="622"/>
      <c r="F698" s="622"/>
      <c r="G698" s="136"/>
      <c r="H698" s="622"/>
      <c r="I698" s="622"/>
      <c r="J698" s="622"/>
      <c r="K698" s="622"/>
      <c r="L698" s="624"/>
      <c r="M698" s="622"/>
      <c r="N698" s="136"/>
      <c r="O698" s="622"/>
      <c r="P698" s="624"/>
      <c r="Q698" s="353"/>
      <c r="R698" s="353"/>
      <c r="S698" s="130"/>
    </row>
    <row r="699" spans="1:19" s="133" customFormat="1" x14ac:dyDescent="0.25">
      <c r="A699" s="489"/>
      <c r="B699" s="489"/>
      <c r="D699" s="622"/>
      <c r="E699" s="622"/>
      <c r="F699" s="622"/>
      <c r="G699" s="136"/>
      <c r="H699" s="622"/>
      <c r="I699" s="622"/>
      <c r="J699" s="622"/>
      <c r="K699" s="622"/>
      <c r="L699" s="624"/>
      <c r="M699" s="622"/>
      <c r="N699" s="136"/>
      <c r="O699" s="622"/>
      <c r="P699" s="624"/>
      <c r="Q699" s="353"/>
      <c r="R699" s="353"/>
      <c r="S699" s="130"/>
    </row>
    <row r="700" spans="1:19" s="133" customFormat="1" x14ac:dyDescent="0.25">
      <c r="A700" s="489"/>
      <c r="B700" s="489"/>
      <c r="D700" s="622"/>
      <c r="E700" s="622"/>
      <c r="F700" s="622"/>
      <c r="G700" s="136"/>
      <c r="H700" s="622"/>
      <c r="I700" s="622"/>
      <c r="J700" s="622"/>
      <c r="K700" s="622"/>
      <c r="L700" s="624"/>
      <c r="M700" s="622"/>
      <c r="N700" s="136"/>
      <c r="O700" s="622"/>
      <c r="P700" s="624"/>
      <c r="Q700" s="353"/>
      <c r="R700" s="353"/>
      <c r="S700" s="130"/>
    </row>
    <row r="701" spans="1:19" s="133" customFormat="1" x14ac:dyDescent="0.25">
      <c r="A701" s="489"/>
      <c r="B701" s="489"/>
      <c r="D701" s="622"/>
      <c r="E701" s="622"/>
      <c r="F701" s="622"/>
      <c r="G701" s="136"/>
      <c r="H701" s="622"/>
      <c r="I701" s="622"/>
      <c r="J701" s="622"/>
      <c r="K701" s="622"/>
      <c r="L701" s="624"/>
      <c r="M701" s="622"/>
      <c r="N701" s="136"/>
      <c r="O701" s="622"/>
      <c r="P701" s="624"/>
      <c r="Q701" s="353"/>
      <c r="R701" s="353"/>
      <c r="S701" s="130"/>
    </row>
    <row r="702" spans="1:19" s="133" customFormat="1" x14ac:dyDescent="0.25">
      <c r="A702" s="489"/>
      <c r="B702" s="489"/>
      <c r="D702" s="622"/>
      <c r="E702" s="622"/>
      <c r="F702" s="622"/>
      <c r="G702" s="136"/>
      <c r="H702" s="622"/>
      <c r="I702" s="622"/>
      <c r="J702" s="622"/>
      <c r="K702" s="622"/>
      <c r="L702" s="624"/>
      <c r="M702" s="622"/>
      <c r="N702" s="136"/>
      <c r="O702" s="622"/>
      <c r="P702" s="624"/>
      <c r="Q702" s="353"/>
      <c r="R702" s="353"/>
      <c r="S702" s="130"/>
    </row>
    <row r="703" spans="1:19" s="133" customFormat="1" x14ac:dyDescent="0.25">
      <c r="A703" s="489"/>
      <c r="B703" s="489"/>
      <c r="D703" s="622"/>
      <c r="E703" s="622"/>
      <c r="F703" s="622"/>
      <c r="G703" s="136"/>
      <c r="H703" s="622"/>
      <c r="I703" s="622"/>
      <c r="J703" s="622"/>
      <c r="K703" s="622"/>
      <c r="L703" s="624"/>
      <c r="M703" s="622"/>
      <c r="N703" s="136"/>
      <c r="O703" s="622"/>
      <c r="P703" s="624"/>
      <c r="Q703" s="353"/>
      <c r="R703" s="353"/>
      <c r="S703" s="130"/>
    </row>
    <row r="704" spans="1:19" s="133" customFormat="1" x14ac:dyDescent="0.25">
      <c r="A704" s="489"/>
      <c r="B704" s="489"/>
      <c r="D704" s="622"/>
      <c r="E704" s="622"/>
      <c r="F704" s="622"/>
      <c r="G704" s="136"/>
      <c r="H704" s="622"/>
      <c r="I704" s="622"/>
      <c r="J704" s="622"/>
      <c r="K704" s="622"/>
      <c r="L704" s="624"/>
      <c r="M704" s="622"/>
      <c r="N704" s="136"/>
      <c r="O704" s="622"/>
      <c r="P704" s="624"/>
      <c r="Q704" s="353"/>
      <c r="R704" s="353"/>
      <c r="S704" s="130"/>
    </row>
    <row r="705" spans="1:19" s="133" customFormat="1" x14ac:dyDescent="0.25">
      <c r="A705" s="489"/>
      <c r="B705" s="489"/>
      <c r="D705" s="622"/>
      <c r="E705" s="622"/>
      <c r="F705" s="622"/>
      <c r="G705" s="136"/>
      <c r="H705" s="622"/>
      <c r="I705" s="622"/>
      <c r="J705" s="622"/>
      <c r="K705" s="622"/>
      <c r="L705" s="624"/>
      <c r="M705" s="622"/>
      <c r="N705" s="136"/>
      <c r="O705" s="622"/>
      <c r="P705" s="624"/>
      <c r="Q705" s="353"/>
      <c r="R705" s="353"/>
      <c r="S705" s="130"/>
    </row>
    <row r="706" spans="1:19" s="133" customFormat="1" x14ac:dyDescent="0.25">
      <c r="A706" s="489"/>
      <c r="B706" s="489"/>
      <c r="D706" s="622"/>
      <c r="E706" s="622"/>
      <c r="F706" s="622"/>
      <c r="G706" s="136"/>
      <c r="H706" s="622"/>
      <c r="I706" s="622"/>
      <c r="J706" s="622"/>
      <c r="K706" s="622"/>
      <c r="L706" s="624"/>
      <c r="M706" s="622"/>
      <c r="N706" s="136"/>
      <c r="O706" s="622"/>
      <c r="P706" s="624"/>
      <c r="Q706" s="353"/>
      <c r="R706" s="353"/>
      <c r="S706" s="130"/>
    </row>
    <row r="707" spans="1:19" s="133" customFormat="1" x14ac:dyDescent="0.25">
      <c r="A707" s="489"/>
      <c r="B707" s="489"/>
      <c r="D707" s="622"/>
      <c r="E707" s="622"/>
      <c r="F707" s="622"/>
      <c r="G707" s="136"/>
      <c r="H707" s="622"/>
      <c r="I707" s="622"/>
      <c r="J707" s="622"/>
      <c r="K707" s="622"/>
      <c r="L707" s="624"/>
      <c r="M707" s="622"/>
      <c r="N707" s="136"/>
      <c r="O707" s="622"/>
      <c r="P707" s="624"/>
      <c r="Q707" s="353"/>
      <c r="R707" s="353"/>
      <c r="S707" s="130"/>
    </row>
    <row r="708" spans="1:19" s="133" customFormat="1" x14ac:dyDescent="0.25">
      <c r="A708" s="489"/>
      <c r="B708" s="489"/>
      <c r="D708" s="622"/>
      <c r="E708" s="622"/>
      <c r="F708" s="622"/>
      <c r="G708" s="136"/>
      <c r="H708" s="622"/>
      <c r="I708" s="622"/>
      <c r="J708" s="622"/>
      <c r="K708" s="622"/>
      <c r="L708" s="624"/>
      <c r="M708" s="622"/>
      <c r="N708" s="136"/>
      <c r="O708" s="622"/>
      <c r="P708" s="624"/>
      <c r="Q708" s="353"/>
      <c r="R708" s="353"/>
      <c r="S708" s="130"/>
    </row>
    <row r="709" spans="1:19" s="133" customFormat="1" x14ac:dyDescent="0.25">
      <c r="A709" s="489"/>
      <c r="B709" s="489"/>
      <c r="D709" s="622"/>
      <c r="E709" s="622"/>
      <c r="F709" s="622"/>
      <c r="G709" s="136"/>
      <c r="H709" s="622"/>
      <c r="I709" s="622"/>
      <c r="J709" s="622"/>
      <c r="K709" s="622"/>
      <c r="L709" s="624"/>
      <c r="M709" s="622"/>
      <c r="N709" s="136"/>
      <c r="O709" s="622"/>
      <c r="P709" s="624"/>
      <c r="Q709" s="353"/>
      <c r="R709" s="353"/>
      <c r="S709" s="130"/>
    </row>
    <row r="710" spans="1:19" s="133" customFormat="1" x14ac:dyDescent="0.25">
      <c r="A710" s="489"/>
      <c r="B710" s="489"/>
      <c r="D710" s="622"/>
      <c r="E710" s="622"/>
      <c r="F710" s="622"/>
      <c r="G710" s="136"/>
      <c r="H710" s="622"/>
      <c r="I710" s="622"/>
      <c r="J710" s="622"/>
      <c r="K710" s="622"/>
      <c r="L710" s="624"/>
      <c r="M710" s="622"/>
      <c r="N710" s="136"/>
      <c r="O710" s="622"/>
      <c r="P710" s="624"/>
      <c r="Q710" s="353"/>
      <c r="R710" s="353"/>
      <c r="S710" s="130"/>
    </row>
    <row r="711" spans="1:19" s="133" customFormat="1" x14ac:dyDescent="0.25">
      <c r="A711" s="489"/>
      <c r="B711" s="489"/>
      <c r="D711" s="622"/>
      <c r="E711" s="622"/>
      <c r="F711" s="622"/>
      <c r="G711" s="136"/>
      <c r="H711" s="622"/>
      <c r="I711" s="622"/>
      <c r="J711" s="622"/>
      <c r="K711" s="622"/>
      <c r="L711" s="624"/>
      <c r="M711" s="622"/>
      <c r="N711" s="136"/>
      <c r="O711" s="622"/>
      <c r="P711" s="624"/>
      <c r="Q711" s="353"/>
      <c r="R711" s="353"/>
      <c r="S711" s="130"/>
    </row>
    <row r="712" spans="1:19" s="133" customFormat="1" x14ac:dyDescent="0.25">
      <c r="A712" s="489"/>
      <c r="B712" s="489"/>
      <c r="D712" s="622"/>
      <c r="E712" s="622"/>
      <c r="F712" s="622"/>
      <c r="G712" s="136"/>
      <c r="H712" s="622"/>
      <c r="I712" s="622"/>
      <c r="J712" s="622"/>
      <c r="K712" s="622"/>
      <c r="L712" s="624"/>
      <c r="M712" s="622"/>
      <c r="N712" s="136"/>
      <c r="O712" s="622"/>
      <c r="P712" s="624"/>
      <c r="Q712" s="353"/>
      <c r="R712" s="353"/>
      <c r="S712" s="130"/>
    </row>
    <row r="713" spans="1:19" s="133" customFormat="1" x14ac:dyDescent="0.25">
      <c r="A713" s="489"/>
      <c r="B713" s="489"/>
      <c r="D713" s="622"/>
      <c r="E713" s="622"/>
      <c r="F713" s="622"/>
      <c r="G713" s="136"/>
      <c r="H713" s="622"/>
      <c r="I713" s="622"/>
      <c r="J713" s="622"/>
      <c r="K713" s="622"/>
      <c r="L713" s="624"/>
      <c r="M713" s="622"/>
      <c r="N713" s="136"/>
      <c r="O713" s="622"/>
      <c r="P713" s="624"/>
      <c r="Q713" s="353"/>
      <c r="R713" s="353"/>
      <c r="S713" s="130"/>
    </row>
    <row r="714" spans="1:19" s="133" customFormat="1" x14ac:dyDescent="0.25">
      <c r="A714" s="489"/>
      <c r="B714" s="489"/>
      <c r="D714" s="622"/>
      <c r="E714" s="622"/>
      <c r="F714" s="622"/>
      <c r="G714" s="136"/>
      <c r="H714" s="622"/>
      <c r="I714" s="622"/>
      <c r="J714" s="622"/>
      <c r="K714" s="622"/>
      <c r="L714" s="624"/>
      <c r="M714" s="622"/>
      <c r="N714" s="136"/>
      <c r="O714" s="622"/>
      <c r="P714" s="624"/>
      <c r="Q714" s="353"/>
      <c r="R714" s="353"/>
      <c r="S714" s="130"/>
    </row>
    <row r="715" spans="1:19" s="133" customFormat="1" x14ac:dyDescent="0.25">
      <c r="A715" s="489"/>
      <c r="B715" s="489"/>
      <c r="D715" s="622"/>
      <c r="E715" s="622"/>
      <c r="F715" s="622"/>
      <c r="G715" s="136"/>
      <c r="H715" s="622"/>
      <c r="I715" s="622"/>
      <c r="J715" s="622"/>
      <c r="K715" s="622"/>
      <c r="L715" s="624"/>
      <c r="M715" s="622"/>
      <c r="N715" s="136"/>
      <c r="O715" s="622"/>
      <c r="P715" s="624"/>
      <c r="Q715" s="353"/>
      <c r="R715" s="353"/>
      <c r="S715" s="130"/>
    </row>
    <row r="716" spans="1:19" s="133" customFormat="1" x14ac:dyDescent="0.25">
      <c r="A716" s="489"/>
      <c r="B716" s="489"/>
      <c r="D716" s="622"/>
      <c r="E716" s="622"/>
      <c r="F716" s="622"/>
      <c r="G716" s="136"/>
      <c r="H716" s="622"/>
      <c r="I716" s="622"/>
      <c r="J716" s="622"/>
      <c r="K716" s="622"/>
      <c r="L716" s="624"/>
      <c r="M716" s="622"/>
      <c r="N716" s="136"/>
      <c r="O716" s="622"/>
      <c r="P716" s="624"/>
      <c r="Q716" s="353"/>
      <c r="R716" s="353"/>
      <c r="S716" s="130"/>
    </row>
    <row r="717" spans="1:19" s="133" customFormat="1" x14ac:dyDescent="0.25">
      <c r="A717" s="489"/>
      <c r="B717" s="489"/>
      <c r="D717" s="622"/>
      <c r="E717" s="622"/>
      <c r="F717" s="622"/>
      <c r="G717" s="136"/>
      <c r="H717" s="622"/>
      <c r="I717" s="622"/>
      <c r="J717" s="622"/>
      <c r="K717" s="622"/>
      <c r="L717" s="624"/>
      <c r="M717" s="622"/>
      <c r="N717" s="136"/>
      <c r="O717" s="622"/>
      <c r="P717" s="624"/>
      <c r="Q717" s="353"/>
      <c r="R717" s="353"/>
      <c r="S717" s="130"/>
    </row>
    <row r="718" spans="1:19" s="133" customFormat="1" x14ac:dyDescent="0.25">
      <c r="A718" s="489"/>
      <c r="B718" s="489"/>
      <c r="D718" s="622"/>
      <c r="E718" s="622"/>
      <c r="F718" s="622"/>
      <c r="G718" s="136"/>
      <c r="H718" s="622"/>
      <c r="I718" s="622"/>
      <c r="J718" s="622"/>
      <c r="K718" s="622"/>
      <c r="L718" s="624"/>
      <c r="M718" s="622"/>
      <c r="N718" s="136"/>
      <c r="O718" s="622"/>
      <c r="P718" s="624"/>
      <c r="Q718" s="353"/>
      <c r="R718" s="353"/>
      <c r="S718" s="130"/>
    </row>
    <row r="719" spans="1:19" s="133" customFormat="1" x14ac:dyDescent="0.25">
      <c r="A719" s="489"/>
      <c r="B719" s="489"/>
      <c r="D719" s="622"/>
      <c r="E719" s="622"/>
      <c r="F719" s="622"/>
      <c r="G719" s="136"/>
      <c r="H719" s="622"/>
      <c r="I719" s="622"/>
      <c r="J719" s="622"/>
      <c r="K719" s="622"/>
      <c r="L719" s="624"/>
      <c r="M719" s="622"/>
      <c r="N719" s="136"/>
      <c r="O719" s="622"/>
      <c r="P719" s="624"/>
      <c r="Q719" s="353"/>
      <c r="R719" s="353"/>
      <c r="S719" s="130"/>
    </row>
    <row r="720" spans="1:19" s="133" customFormat="1" x14ac:dyDescent="0.25">
      <c r="A720" s="489"/>
      <c r="B720" s="489"/>
      <c r="D720" s="622"/>
      <c r="E720" s="622"/>
      <c r="F720" s="622"/>
      <c r="G720" s="136"/>
      <c r="H720" s="622"/>
      <c r="I720" s="622"/>
      <c r="J720" s="622"/>
      <c r="K720" s="622"/>
      <c r="L720" s="624"/>
      <c r="M720" s="622"/>
      <c r="N720" s="136"/>
      <c r="O720" s="622"/>
      <c r="P720" s="624"/>
      <c r="Q720" s="353"/>
      <c r="R720" s="353"/>
      <c r="S720" s="130"/>
    </row>
    <row r="721" spans="1:19" s="133" customFormat="1" x14ac:dyDescent="0.25">
      <c r="A721" s="489"/>
      <c r="B721" s="489"/>
      <c r="D721" s="622"/>
      <c r="E721" s="622"/>
      <c r="F721" s="622"/>
      <c r="G721" s="136"/>
      <c r="H721" s="622"/>
      <c r="I721" s="622"/>
      <c r="J721" s="622"/>
      <c r="K721" s="622"/>
      <c r="L721" s="624"/>
      <c r="M721" s="622"/>
      <c r="N721" s="136"/>
      <c r="O721" s="622"/>
      <c r="P721" s="624"/>
      <c r="Q721" s="353"/>
      <c r="R721" s="353"/>
      <c r="S721" s="130"/>
    </row>
    <row r="722" spans="1:19" s="133" customFormat="1" x14ac:dyDescent="0.25">
      <c r="A722" s="489"/>
      <c r="B722" s="489"/>
      <c r="C722" s="161"/>
      <c r="D722" s="105"/>
      <c r="E722" s="105"/>
      <c r="F722" s="105"/>
      <c r="G722" s="136"/>
      <c r="H722" s="105"/>
      <c r="I722" s="105"/>
      <c r="J722" s="105"/>
      <c r="K722" s="105"/>
      <c r="L722" s="135"/>
      <c r="M722" s="105"/>
      <c r="N722" s="493"/>
      <c r="O722" s="105"/>
      <c r="P722" s="135"/>
      <c r="Q722" s="353"/>
      <c r="R722" s="353"/>
      <c r="S722" s="130"/>
    </row>
    <row r="723" spans="1:19" s="133" customFormat="1" x14ac:dyDescent="0.25">
      <c r="A723" s="489"/>
      <c r="B723" s="489"/>
      <c r="C723" s="161"/>
      <c r="D723" s="105"/>
      <c r="E723" s="105"/>
      <c r="F723" s="105"/>
      <c r="G723" s="136"/>
      <c r="H723" s="105"/>
      <c r="I723" s="105"/>
      <c r="J723" s="105"/>
      <c r="K723" s="105"/>
      <c r="L723" s="135"/>
      <c r="M723" s="105"/>
      <c r="N723" s="493"/>
      <c r="O723" s="105"/>
      <c r="P723" s="135"/>
      <c r="Q723" s="353"/>
      <c r="R723" s="353"/>
      <c r="S723" s="130"/>
    </row>
  </sheetData>
  <autoFilter ref="A1:Q114" xr:uid="{00000000-0009-0000-0000-000000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14">
    <mergeCell ref="C1:P1"/>
    <mergeCell ref="C2:P2"/>
    <mergeCell ref="C3:P3"/>
    <mergeCell ref="G141:H141"/>
    <mergeCell ref="G137:H137"/>
    <mergeCell ref="G140:H140"/>
    <mergeCell ref="L136:N136"/>
    <mergeCell ref="G142:H142"/>
    <mergeCell ref="J137:K137"/>
    <mergeCell ref="J138:K138"/>
    <mergeCell ref="J139:K139"/>
    <mergeCell ref="J140:K140"/>
    <mergeCell ref="J141:K141"/>
    <mergeCell ref="J142:K142"/>
  </mergeCells>
  <phoneticPr fontId="0" type="noConversion"/>
  <conditionalFormatting sqref="H9:H134">
    <cfRule type="cellIs" dxfId="2" priority="2" stopIfTrue="1" operator="greaterThan">
      <formula>0.03</formula>
    </cfRule>
  </conditionalFormatting>
  <pageMargins left="0.31" right="0.36" top="0.32" bottom="0.63" header="0.25" footer="0.25"/>
  <headerFooter alignWithMargins="0">
    <oddFooter>&amp;L&amp;BChicago Housing Authority Confidential&amp;B&amp;C&amp;D&amp;RPage &amp;P</oddFooter>
  </headerFooter>
  <rowBreaks count="4" manualBreakCount="4">
    <brk id="45" min="2" max="15" man="1"/>
    <brk id="79" min="2" max="15" man="1"/>
    <brk id="110" min="2" max="15" man="1"/>
    <brk id="144" min="2" max="15" man="1"/>
  </rowBreak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7"/>
  <sheetViews>
    <sheetView workbookViewId="0">
      <selection activeCell="B7" sqref="B7"/>
    </sheetView>
  </sheetViews>
  <sheetFormatPr defaultColWidth="8.85546875" defaultRowHeight="12.75" x14ac:dyDescent="0.2"/>
  <cols>
    <col min="1" max="1" width="22.28515625" bestFit="1" customWidth="1"/>
  </cols>
  <sheetData>
    <row r="1" spans="1:2" x14ac:dyDescent="0.2">
      <c r="A1" s="128" t="s">
        <v>354</v>
      </c>
      <c r="B1" s="128" t="s">
        <v>356</v>
      </c>
    </row>
    <row r="2" spans="1:2" x14ac:dyDescent="0.2">
      <c r="A2" s="128" t="s">
        <v>349</v>
      </c>
      <c r="B2" s="128" t="s">
        <v>357</v>
      </c>
    </row>
    <row r="3" spans="1:2" x14ac:dyDescent="0.2">
      <c r="A3" s="128" t="s">
        <v>350</v>
      </c>
      <c r="B3">
        <v>127</v>
      </c>
    </row>
    <row r="4" spans="1:2" x14ac:dyDescent="0.2">
      <c r="A4" s="128" t="s">
        <v>351</v>
      </c>
      <c r="B4">
        <v>70</v>
      </c>
    </row>
    <row r="5" spans="1:2" x14ac:dyDescent="0.2">
      <c r="A5" s="128" t="s">
        <v>355</v>
      </c>
      <c r="B5">
        <v>375.36</v>
      </c>
    </row>
    <row r="6" spans="1:2" x14ac:dyDescent="0.2">
      <c r="A6" s="128" t="s">
        <v>352</v>
      </c>
      <c r="B6">
        <v>375.36</v>
      </c>
    </row>
    <row r="7" spans="1:2" x14ac:dyDescent="0.2">
      <c r="A7" s="128" t="s">
        <v>353</v>
      </c>
      <c r="B7">
        <v>382.87</v>
      </c>
    </row>
  </sheetData>
  <sheetProtection password="CEAB" sheet="1"/>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37"/>
  <sheetViews>
    <sheetView workbookViewId="0">
      <selection activeCell="B3" sqref="B3"/>
    </sheetView>
  </sheetViews>
  <sheetFormatPr defaultColWidth="8.85546875" defaultRowHeight="12.75" x14ac:dyDescent="0.2"/>
  <cols>
    <col min="1" max="1" width="76.85546875" customWidth="1"/>
    <col min="2" max="2" width="25.28515625" customWidth="1"/>
  </cols>
  <sheetData>
    <row r="1" spans="1:2" ht="13.5" thickBot="1" x14ac:dyDescent="0.25"/>
    <row r="2" spans="1:2" ht="21" thickBot="1" x14ac:dyDescent="0.35">
      <c r="A2" s="794" t="s">
        <v>638</v>
      </c>
      <c r="B2" s="795">
        <v>73563</v>
      </c>
    </row>
    <row r="3" spans="1:2" ht="21" thickBot="1" x14ac:dyDescent="0.35">
      <c r="A3" s="794" t="s">
        <v>639</v>
      </c>
      <c r="B3" s="847">
        <v>0</v>
      </c>
    </row>
    <row r="4" spans="1:2" ht="21" thickBot="1" x14ac:dyDescent="0.35">
      <c r="A4" s="794" t="s">
        <v>630</v>
      </c>
      <c r="B4" s="847">
        <v>0</v>
      </c>
    </row>
    <row r="5" spans="1:2" ht="21" thickBot="1" x14ac:dyDescent="0.35">
      <c r="A5" s="794" t="s">
        <v>640</v>
      </c>
      <c r="B5" s="795">
        <f>SUM(B2:B4)</f>
        <v>73563</v>
      </c>
    </row>
    <row r="6" spans="1:2" ht="20.25" x14ac:dyDescent="0.3">
      <c r="A6" s="790"/>
      <c r="B6" s="790"/>
    </row>
    <row r="7" spans="1:2" x14ac:dyDescent="0.2">
      <c r="A7" s="894" t="s">
        <v>631</v>
      </c>
      <c r="B7" s="895"/>
    </row>
    <row r="8" spans="1:2" x14ac:dyDescent="0.2">
      <c r="A8" s="895"/>
      <c r="B8" s="895"/>
    </row>
    <row r="9" spans="1:2" x14ac:dyDescent="0.2">
      <c r="A9" s="895"/>
      <c r="B9" s="895"/>
    </row>
    <row r="10" spans="1:2" x14ac:dyDescent="0.2">
      <c r="A10" s="895"/>
      <c r="B10" s="895"/>
    </row>
    <row r="11" spans="1:2" x14ac:dyDescent="0.2">
      <c r="A11" s="895"/>
      <c r="B11" s="895"/>
    </row>
    <row r="12" spans="1:2" x14ac:dyDescent="0.2">
      <c r="A12" s="796"/>
      <c r="B12" s="796"/>
    </row>
    <row r="13" spans="1:2" x14ac:dyDescent="0.2">
      <c r="A13" s="796"/>
      <c r="B13" s="796"/>
    </row>
    <row r="14" spans="1:2" x14ac:dyDescent="0.2">
      <c r="A14" s="796"/>
      <c r="B14" s="796"/>
    </row>
    <row r="15" spans="1:2" x14ac:dyDescent="0.2">
      <c r="A15" s="796"/>
      <c r="B15" s="796"/>
    </row>
    <row r="16" spans="1:2" x14ac:dyDescent="0.2">
      <c r="A16" s="796"/>
      <c r="B16" s="796"/>
    </row>
    <row r="17" spans="1:2" x14ac:dyDescent="0.2">
      <c r="A17" s="796"/>
      <c r="B17" s="796"/>
    </row>
    <row r="18" spans="1:2" x14ac:dyDescent="0.2">
      <c r="A18" s="796"/>
      <c r="B18" s="796"/>
    </row>
    <row r="19" spans="1:2" x14ac:dyDescent="0.2">
      <c r="A19" s="796"/>
      <c r="B19" s="796"/>
    </row>
    <row r="20" spans="1:2" x14ac:dyDescent="0.2">
      <c r="A20" s="796"/>
      <c r="B20" s="796"/>
    </row>
    <row r="21" spans="1:2" x14ac:dyDescent="0.2">
      <c r="A21" s="796"/>
      <c r="B21" s="796"/>
    </row>
    <row r="22" spans="1:2" x14ac:dyDescent="0.2">
      <c r="A22" s="796"/>
      <c r="B22" s="796"/>
    </row>
    <row r="23" spans="1:2" x14ac:dyDescent="0.2">
      <c r="A23" s="796"/>
      <c r="B23" s="796"/>
    </row>
    <row r="24" spans="1:2" x14ac:dyDescent="0.2">
      <c r="A24" s="796"/>
      <c r="B24" s="796"/>
    </row>
    <row r="25" spans="1:2" x14ac:dyDescent="0.2">
      <c r="A25" s="796"/>
      <c r="B25" s="796"/>
    </row>
    <row r="26" spans="1:2" x14ac:dyDescent="0.2">
      <c r="A26" s="796"/>
      <c r="B26" s="796"/>
    </row>
    <row r="27" spans="1:2" x14ac:dyDescent="0.2">
      <c r="A27" s="796"/>
      <c r="B27" s="796"/>
    </row>
    <row r="28" spans="1:2" x14ac:dyDescent="0.2">
      <c r="A28" s="796"/>
      <c r="B28" s="796"/>
    </row>
    <row r="29" spans="1:2" x14ac:dyDescent="0.2">
      <c r="A29" s="796"/>
      <c r="B29" s="796"/>
    </row>
    <row r="30" spans="1:2" x14ac:dyDescent="0.2">
      <c r="A30" s="796"/>
      <c r="B30" s="796"/>
    </row>
    <row r="31" spans="1:2" x14ac:dyDescent="0.2">
      <c r="A31" s="796"/>
      <c r="B31" s="796"/>
    </row>
    <row r="32" spans="1:2" x14ac:dyDescent="0.2">
      <c r="A32" s="796"/>
      <c r="B32" s="796"/>
    </row>
    <row r="33" spans="1:2" x14ac:dyDescent="0.2">
      <c r="A33" s="796"/>
      <c r="B33" s="796"/>
    </row>
    <row r="34" spans="1:2" x14ac:dyDescent="0.2">
      <c r="A34" s="796"/>
      <c r="B34" s="796"/>
    </row>
    <row r="35" spans="1:2" x14ac:dyDescent="0.2">
      <c r="A35" s="796"/>
      <c r="B35" s="796"/>
    </row>
    <row r="36" spans="1:2" x14ac:dyDescent="0.2">
      <c r="A36" s="796"/>
      <c r="B36" s="796"/>
    </row>
    <row r="37" spans="1:2" x14ac:dyDescent="0.2">
      <c r="A37" s="796"/>
      <c r="B37" s="796"/>
    </row>
  </sheetData>
  <sheetProtection algorithmName="SHA-512" hashValue="wL5x3DmEe/ezNMDZmd+BJDF5n4HADP9Ikxl+bYVfUZjjYJFFyjOEdOu9hT2bB250jdFfLF+zxorVlgM9l1yiyw==" saltValue="zhT/EDugA7Flz6+yRbcyLw==" spinCount="100000" sheet="1"/>
  <mergeCells count="1">
    <mergeCell ref="A7:B1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3"/>
  <sheetViews>
    <sheetView workbookViewId="0">
      <selection activeCell="A3" sqref="A3"/>
    </sheetView>
  </sheetViews>
  <sheetFormatPr defaultColWidth="8.85546875" defaultRowHeight="12.75" x14ac:dyDescent="0.2"/>
  <cols>
    <col min="1" max="1" width="13.85546875" style="1" bestFit="1" customWidth="1"/>
    <col min="2" max="2" width="22.7109375" style="1" bestFit="1" customWidth="1"/>
    <col min="3" max="3" width="18.28515625" style="1" bestFit="1" customWidth="1"/>
    <col min="4" max="4" width="14.7109375" style="1" bestFit="1" customWidth="1"/>
    <col min="5" max="5" width="14.42578125" style="1" bestFit="1" customWidth="1"/>
    <col min="6" max="6" width="19.28515625" style="1" bestFit="1" customWidth="1"/>
    <col min="7" max="7" width="27.42578125" style="1" bestFit="1" customWidth="1"/>
    <col min="8" max="8" width="23.42578125" style="1" bestFit="1" customWidth="1"/>
    <col min="9" max="9" width="27.42578125" style="1" bestFit="1" customWidth="1"/>
    <col min="10" max="10" width="25.140625" style="1" bestFit="1" customWidth="1"/>
    <col min="11" max="11" width="12.7109375" style="1" bestFit="1" customWidth="1"/>
    <col min="12" max="13" width="11.42578125" style="1" bestFit="1" customWidth="1"/>
    <col min="14" max="14" width="14.28515625" style="1" bestFit="1" customWidth="1"/>
    <col min="15" max="15" width="22.140625" style="1" bestFit="1" customWidth="1"/>
    <col min="16" max="16" width="17.42578125" style="1" bestFit="1" customWidth="1"/>
    <col min="17" max="17" width="23.42578125" style="1" bestFit="1" customWidth="1"/>
    <col min="18" max="18" width="24.42578125" style="1" bestFit="1" customWidth="1"/>
    <col min="19" max="19" width="15.42578125" style="1" bestFit="1" customWidth="1"/>
    <col min="20" max="20" width="25.85546875" style="1" bestFit="1" customWidth="1"/>
    <col min="21" max="21" width="27.7109375" style="1" bestFit="1" customWidth="1"/>
    <col min="22" max="22" width="12.7109375" style="1" bestFit="1" customWidth="1"/>
    <col min="23" max="23" width="18.42578125" style="1" bestFit="1" customWidth="1"/>
    <col min="24" max="24" width="20.42578125" style="1" bestFit="1" customWidth="1"/>
    <col min="25" max="25" width="23.7109375" style="1" bestFit="1" customWidth="1"/>
    <col min="26" max="26" width="27.85546875" style="1" bestFit="1" customWidth="1"/>
    <col min="27" max="27" width="11.42578125" style="1" bestFit="1" customWidth="1"/>
    <col min="28" max="28" width="22.140625" style="1" bestFit="1" customWidth="1"/>
    <col min="29" max="30" width="11.42578125" style="1" bestFit="1" customWidth="1"/>
    <col min="31" max="31" width="28.42578125" style="1" bestFit="1" customWidth="1"/>
    <col min="32" max="32" width="14.7109375" style="1" bestFit="1" customWidth="1"/>
    <col min="33" max="33" width="12.7109375" style="1" bestFit="1" customWidth="1"/>
    <col min="34" max="34" width="22.7109375" style="1" bestFit="1" customWidth="1"/>
    <col min="35" max="35" width="18" style="1" bestFit="1" customWidth="1"/>
    <col min="36" max="36" width="27.7109375" style="1" bestFit="1" customWidth="1"/>
    <col min="37" max="37" width="22.7109375" style="1" bestFit="1" customWidth="1"/>
    <col min="38" max="38" width="20.140625" style="1" bestFit="1" customWidth="1"/>
    <col min="39" max="39" width="11.42578125" style="1" bestFit="1" customWidth="1"/>
    <col min="40" max="40" width="22" style="1" bestFit="1" customWidth="1"/>
    <col min="41" max="41" width="26.28515625" style="1" bestFit="1" customWidth="1"/>
    <col min="42" max="42" width="15.140625" style="1" bestFit="1" customWidth="1"/>
    <col min="43" max="43" width="16.140625" style="1" bestFit="1" customWidth="1"/>
    <col min="44" max="44" width="11.42578125" style="1" bestFit="1" customWidth="1"/>
    <col min="45" max="45" width="28.140625" style="1" bestFit="1" customWidth="1"/>
    <col min="46" max="46" width="13.140625" style="1" bestFit="1" customWidth="1"/>
    <col min="47" max="47" width="15.85546875" style="1" bestFit="1" customWidth="1"/>
    <col min="48" max="48" width="19.140625" style="1" bestFit="1" customWidth="1"/>
    <col min="49" max="49" width="15.28515625" style="1" bestFit="1" customWidth="1"/>
    <col min="50" max="50" width="18.85546875" style="1" bestFit="1" customWidth="1"/>
    <col min="51" max="51" width="15.28515625" style="1" bestFit="1" customWidth="1"/>
    <col min="52" max="52" width="29.42578125" style="1" bestFit="1" customWidth="1"/>
    <col min="53" max="53" width="22.42578125" style="1" bestFit="1" customWidth="1"/>
    <col min="54" max="54" width="18.85546875" style="1" bestFit="1" customWidth="1"/>
    <col min="55" max="55" width="20.28515625" style="1" bestFit="1" customWidth="1"/>
    <col min="56" max="56" width="20" style="1" bestFit="1" customWidth="1"/>
    <col min="57" max="57" width="30.28515625" style="1" bestFit="1" customWidth="1"/>
    <col min="58" max="58" width="14.7109375" style="1" bestFit="1" customWidth="1"/>
    <col min="59" max="59" width="27.28515625" style="1" bestFit="1" customWidth="1"/>
    <col min="60" max="60" width="15.28515625" style="1" bestFit="1" customWidth="1"/>
    <col min="61" max="61" width="13.42578125" style="1" bestFit="1" customWidth="1"/>
    <col min="62" max="62" width="12.42578125" style="1" bestFit="1" customWidth="1"/>
    <col min="63" max="63" width="15.28515625" style="1" bestFit="1" customWidth="1"/>
    <col min="64" max="64" width="16.42578125" style="1" bestFit="1" customWidth="1"/>
    <col min="65" max="65" width="28.85546875" style="1" bestFit="1" customWidth="1"/>
    <col min="66" max="66" width="26.85546875" style="1" bestFit="1" customWidth="1"/>
    <col min="67" max="67" width="28.42578125" style="1" bestFit="1" customWidth="1"/>
    <col min="68" max="68" width="14.42578125" style="1" bestFit="1" customWidth="1"/>
    <col min="69" max="69" width="11.42578125" style="1" bestFit="1" customWidth="1"/>
    <col min="70" max="70" width="20.42578125" style="1" bestFit="1" customWidth="1"/>
    <col min="71" max="71" width="30.7109375" style="1" bestFit="1" customWidth="1"/>
    <col min="72" max="72" width="17.28515625" style="1" bestFit="1" customWidth="1"/>
    <col min="73" max="73" width="13.42578125" style="1" bestFit="1" customWidth="1"/>
    <col min="74" max="74" width="29.42578125" style="1" bestFit="1" customWidth="1"/>
    <col min="75" max="75" width="11.42578125" style="1" bestFit="1" customWidth="1"/>
    <col min="76" max="76" width="24" style="1" bestFit="1" customWidth="1"/>
    <col min="77" max="78" width="11.42578125" style="1" bestFit="1" customWidth="1"/>
    <col min="79" max="79" width="13.85546875" style="1" bestFit="1" customWidth="1"/>
    <col min="80" max="80" width="18.42578125" style="1" bestFit="1" customWidth="1"/>
    <col min="81" max="81" width="15.7109375" style="1" bestFit="1" customWidth="1"/>
    <col min="82" max="82" width="12.7109375" style="1" bestFit="1" customWidth="1"/>
    <col min="83" max="83" width="21" style="1" bestFit="1" customWidth="1"/>
    <col min="84" max="84" width="23.42578125" style="1" bestFit="1" customWidth="1"/>
    <col min="85" max="85" width="12.28515625" style="1" bestFit="1" customWidth="1"/>
    <col min="86" max="86" width="24.7109375" style="1" bestFit="1" customWidth="1"/>
    <col min="87" max="87" width="12.42578125" style="1" bestFit="1" customWidth="1"/>
    <col min="88" max="88" width="20.85546875" style="1" bestFit="1" customWidth="1"/>
    <col min="89" max="89" width="22.85546875" style="1" bestFit="1" customWidth="1"/>
    <col min="90" max="90" width="21.85546875" style="1" bestFit="1" customWidth="1"/>
    <col min="91" max="91" width="14.85546875" style="1" bestFit="1" customWidth="1"/>
    <col min="92" max="92" width="26.28515625" style="1" bestFit="1" customWidth="1"/>
    <col min="93" max="93" width="24.42578125" style="1" bestFit="1" customWidth="1"/>
    <col min="94" max="94" width="21.7109375" style="1" bestFit="1" customWidth="1"/>
    <col min="95" max="95" width="18.85546875" style="1" bestFit="1" customWidth="1"/>
    <col min="96" max="96" width="28.140625" style="1" bestFit="1" customWidth="1"/>
    <col min="97" max="97" width="19.42578125" style="1" bestFit="1" customWidth="1"/>
    <col min="98" max="98" width="18.140625" style="1" bestFit="1" customWidth="1"/>
    <col min="99" max="16384" width="8.85546875" style="1"/>
  </cols>
  <sheetData>
    <row r="1" spans="1:98" s="51" customFormat="1" x14ac:dyDescent="0.2">
      <c r="A1" s="51" t="s">
        <v>156</v>
      </c>
      <c r="B1" s="51" t="s">
        <v>157</v>
      </c>
      <c r="C1" s="52" t="s">
        <v>77</v>
      </c>
      <c r="D1" s="52" t="s">
        <v>65</v>
      </c>
      <c r="E1" s="52" t="s">
        <v>66</v>
      </c>
      <c r="F1" s="52" t="s">
        <v>83</v>
      </c>
      <c r="G1" s="52" t="s">
        <v>84</v>
      </c>
      <c r="H1" s="52" t="s">
        <v>91</v>
      </c>
      <c r="I1" s="52" t="s">
        <v>92</v>
      </c>
      <c r="J1" s="52" t="s">
        <v>114</v>
      </c>
      <c r="K1" s="52" t="s">
        <v>115</v>
      </c>
      <c r="L1" s="52" t="s">
        <v>53</v>
      </c>
      <c r="M1" s="52" t="s">
        <v>53</v>
      </c>
      <c r="N1" s="53" t="s">
        <v>79</v>
      </c>
      <c r="O1" s="54" t="s">
        <v>1</v>
      </c>
      <c r="P1" s="54" t="s">
        <v>2</v>
      </c>
      <c r="Q1" s="54" t="s">
        <v>3</v>
      </c>
      <c r="R1" s="54" t="s">
        <v>85</v>
      </c>
      <c r="S1" s="54" t="s">
        <v>4</v>
      </c>
      <c r="T1" s="54" t="s">
        <v>86</v>
      </c>
      <c r="U1" s="54" t="s">
        <v>87</v>
      </c>
      <c r="V1" s="54" t="s">
        <v>5</v>
      </c>
      <c r="W1" s="54" t="s">
        <v>68</v>
      </c>
      <c r="X1" s="54" t="s">
        <v>67</v>
      </c>
      <c r="Y1" s="54" t="s">
        <v>6</v>
      </c>
      <c r="Z1" s="54" t="s">
        <v>72</v>
      </c>
      <c r="AA1" s="54" t="s">
        <v>7</v>
      </c>
      <c r="AB1" s="54" t="s">
        <v>90</v>
      </c>
      <c r="AC1" s="54" t="s">
        <v>8</v>
      </c>
      <c r="AD1" s="54" t="s">
        <v>9</v>
      </c>
      <c r="AE1" s="54" t="s">
        <v>73</v>
      </c>
      <c r="AF1" s="54" t="s">
        <v>74</v>
      </c>
      <c r="AG1" s="54" t="s">
        <v>75</v>
      </c>
      <c r="AH1" s="52" t="s">
        <v>107</v>
      </c>
      <c r="AI1" s="52" t="s">
        <v>94</v>
      </c>
      <c r="AJ1" s="52" t="s">
        <v>88</v>
      </c>
      <c r="AK1" s="52" t="s">
        <v>103</v>
      </c>
      <c r="AL1" s="52" t="s">
        <v>104</v>
      </c>
      <c r="AM1" s="52" t="s">
        <v>109</v>
      </c>
      <c r="AN1" s="52" t="s">
        <v>110</v>
      </c>
      <c r="AO1" s="55" t="s">
        <v>10</v>
      </c>
      <c r="AP1" s="54" t="s">
        <v>12</v>
      </c>
      <c r="AQ1" s="54" t="s">
        <v>13</v>
      </c>
      <c r="AR1" s="54" t="s">
        <v>14</v>
      </c>
      <c r="AS1" s="54" t="s">
        <v>15</v>
      </c>
      <c r="AT1" s="54" t="s">
        <v>16</v>
      </c>
      <c r="AU1" s="54" t="s">
        <v>17</v>
      </c>
      <c r="AV1" s="54" t="s">
        <v>18</v>
      </c>
      <c r="AW1" s="54" t="s">
        <v>52</v>
      </c>
      <c r="AX1" s="54" t="s">
        <v>111</v>
      </c>
      <c r="AY1" s="52" t="s">
        <v>108</v>
      </c>
      <c r="AZ1" s="52" t="s">
        <v>113</v>
      </c>
      <c r="BA1" s="55" t="s">
        <v>19</v>
      </c>
      <c r="BB1" s="54" t="s">
        <v>21</v>
      </c>
      <c r="BC1" s="54" t="s">
        <v>22</v>
      </c>
      <c r="BD1" s="54" t="s">
        <v>51</v>
      </c>
      <c r="BE1" s="54" t="s">
        <v>93</v>
      </c>
      <c r="BF1" s="54" t="s">
        <v>23</v>
      </c>
      <c r="BG1" s="54" t="s">
        <v>24</v>
      </c>
      <c r="BH1" s="54" t="s">
        <v>25</v>
      </c>
      <c r="BI1" s="54" t="s">
        <v>26</v>
      </c>
      <c r="BJ1" s="54" t="s">
        <v>27</v>
      </c>
      <c r="BK1" s="54" t="s">
        <v>28</v>
      </c>
      <c r="BL1" s="54" t="s">
        <v>29</v>
      </c>
      <c r="BM1" s="54" t="s">
        <v>30</v>
      </c>
      <c r="BN1" s="54" t="s">
        <v>76</v>
      </c>
      <c r="BO1" s="54" t="s">
        <v>106</v>
      </c>
      <c r="BP1" s="54" t="s">
        <v>31</v>
      </c>
      <c r="BQ1" s="54" t="s">
        <v>32</v>
      </c>
      <c r="BR1" s="54" t="s">
        <v>33</v>
      </c>
      <c r="BS1" s="54" t="s">
        <v>34</v>
      </c>
      <c r="BT1" s="54" t="s">
        <v>69</v>
      </c>
      <c r="BU1" s="54" t="s">
        <v>70</v>
      </c>
      <c r="BV1" s="54" t="s">
        <v>113</v>
      </c>
      <c r="BW1" s="52" t="s">
        <v>112</v>
      </c>
      <c r="BX1" s="56" t="s">
        <v>35</v>
      </c>
      <c r="BY1" s="54" t="s">
        <v>37</v>
      </c>
      <c r="BZ1" s="54" t="s">
        <v>38</v>
      </c>
      <c r="CA1" s="54" t="s">
        <v>39</v>
      </c>
      <c r="CB1" s="55" t="s">
        <v>40</v>
      </c>
      <c r="CC1" s="54" t="s">
        <v>41</v>
      </c>
      <c r="CD1" s="54" t="s">
        <v>42</v>
      </c>
      <c r="CE1" s="54" t="s">
        <v>43</v>
      </c>
      <c r="CF1" s="54" t="s">
        <v>44</v>
      </c>
      <c r="CG1" s="54" t="s">
        <v>45</v>
      </c>
      <c r="CH1" s="54" t="s">
        <v>46</v>
      </c>
      <c r="CI1" s="54" t="s">
        <v>47</v>
      </c>
      <c r="CJ1" s="54" t="s">
        <v>55</v>
      </c>
      <c r="CK1" s="54" t="s">
        <v>105</v>
      </c>
      <c r="CL1" s="55" t="s">
        <v>63</v>
      </c>
      <c r="CM1" s="55" t="s">
        <v>50</v>
      </c>
      <c r="CN1" s="54" t="s">
        <v>58</v>
      </c>
      <c r="CO1" s="57" t="s">
        <v>71</v>
      </c>
      <c r="CP1" s="55" t="s">
        <v>59</v>
      </c>
      <c r="CQ1" s="54" t="s">
        <v>48</v>
      </c>
      <c r="CR1" s="54" t="s">
        <v>49</v>
      </c>
      <c r="CS1" s="55" t="s">
        <v>61</v>
      </c>
      <c r="CT1" s="55" t="s">
        <v>62</v>
      </c>
    </row>
    <row r="2" spans="1:98" s="51" customFormat="1" x14ac:dyDescent="0.2">
      <c r="A2" s="51">
        <v>900</v>
      </c>
      <c r="B2" s="51" t="s">
        <v>159</v>
      </c>
      <c r="C2" s="58">
        <v>3110001</v>
      </c>
      <c r="D2" s="58">
        <v>3690001.01</v>
      </c>
      <c r="E2" s="58">
        <v>3690001.02</v>
      </c>
      <c r="F2" s="58">
        <v>3110001.01</v>
      </c>
      <c r="G2" s="58">
        <v>3690001.04</v>
      </c>
      <c r="H2" s="58">
        <v>3690001.05</v>
      </c>
      <c r="I2" s="58">
        <v>3690001.06</v>
      </c>
      <c r="J2" s="58">
        <v>3690001.07</v>
      </c>
      <c r="K2" s="58">
        <v>3690001.08</v>
      </c>
      <c r="L2" s="58">
        <v>3690001.09</v>
      </c>
      <c r="M2" s="58">
        <v>3690001.1</v>
      </c>
      <c r="N2" s="58" t="s">
        <v>95</v>
      </c>
      <c r="O2" s="58">
        <v>4110001.01</v>
      </c>
      <c r="P2" s="58">
        <v>4110001.02</v>
      </c>
      <c r="Q2" s="58">
        <v>4190001.01</v>
      </c>
      <c r="R2" s="58">
        <v>4190011.02</v>
      </c>
      <c r="S2" s="58">
        <v>4195001</v>
      </c>
      <c r="T2" s="58">
        <v>4210001</v>
      </c>
      <c r="U2" s="58">
        <v>4220001</v>
      </c>
      <c r="V2" s="58">
        <v>4190049.01</v>
      </c>
      <c r="W2" s="58">
        <v>4130004.01</v>
      </c>
      <c r="X2" s="58">
        <v>4130004.02</v>
      </c>
      <c r="Y2" s="58">
        <v>4170001</v>
      </c>
      <c r="Z2" s="58">
        <v>4193001</v>
      </c>
      <c r="AA2" s="58">
        <v>4190014</v>
      </c>
      <c r="AB2" s="58">
        <v>4570001</v>
      </c>
      <c r="AC2" s="58">
        <v>4190008</v>
      </c>
      <c r="AD2" s="58">
        <v>4190051.02</v>
      </c>
      <c r="AE2" s="58">
        <v>4190049.04</v>
      </c>
      <c r="AF2" s="58">
        <v>4150003</v>
      </c>
      <c r="AG2" s="58">
        <v>4140001</v>
      </c>
      <c r="AH2" s="58">
        <v>4190004</v>
      </c>
      <c r="AI2" s="58">
        <v>4190030.01</v>
      </c>
      <c r="AJ2" s="58">
        <v>4230001</v>
      </c>
      <c r="AK2" s="58">
        <v>4192001</v>
      </c>
      <c r="AL2" s="58">
        <v>4192002</v>
      </c>
      <c r="AM2" s="58">
        <v>4190030.02</v>
      </c>
      <c r="AN2" s="58">
        <v>4190049.02</v>
      </c>
      <c r="AO2" s="58" t="s">
        <v>96</v>
      </c>
      <c r="AP2" s="58">
        <v>4410024</v>
      </c>
      <c r="AQ2" s="58">
        <v>4420001.01</v>
      </c>
      <c r="AR2" s="58">
        <v>4420001.0199999996</v>
      </c>
      <c r="AS2" s="58">
        <v>4430008</v>
      </c>
      <c r="AT2" s="58">
        <v>4430013</v>
      </c>
      <c r="AU2" s="58">
        <v>4430003</v>
      </c>
      <c r="AV2" s="58">
        <v>4430022.01</v>
      </c>
      <c r="AW2" s="58">
        <v>4430103</v>
      </c>
      <c r="AX2" s="58">
        <v>4410029.01</v>
      </c>
      <c r="AY2" s="58">
        <v>4430022.0199999996</v>
      </c>
      <c r="AZ2" s="58">
        <v>4430022.03</v>
      </c>
      <c r="BA2" s="58" t="s">
        <v>97</v>
      </c>
      <c r="BB2" s="58">
        <v>4410065.0199999996</v>
      </c>
      <c r="BC2" s="58">
        <v>4420001.03</v>
      </c>
      <c r="BD2" s="58">
        <v>4420001.04</v>
      </c>
      <c r="BE2" s="58">
        <v>4420013</v>
      </c>
      <c r="BF2" s="58">
        <v>4430022.04</v>
      </c>
      <c r="BG2" s="58">
        <v>4430093</v>
      </c>
      <c r="BH2" s="58">
        <v>4430017</v>
      </c>
      <c r="BI2" s="58">
        <v>4430011.01</v>
      </c>
      <c r="BJ2" s="58">
        <v>4430011.0199999996</v>
      </c>
      <c r="BK2" s="58">
        <v>4420011</v>
      </c>
      <c r="BL2" s="58">
        <v>4430023.01</v>
      </c>
      <c r="BM2" s="58">
        <v>4430012</v>
      </c>
      <c r="BN2" s="58">
        <v>4420014</v>
      </c>
      <c r="BO2" s="58">
        <v>4430023.0199999996</v>
      </c>
      <c r="BP2" s="58">
        <v>4430092</v>
      </c>
      <c r="BQ2" s="58">
        <v>4430021</v>
      </c>
      <c r="BR2" s="58">
        <v>4480001</v>
      </c>
      <c r="BS2" s="58">
        <v>4420012</v>
      </c>
      <c r="BT2" s="58">
        <v>4430018</v>
      </c>
      <c r="BU2" s="58">
        <v>4420010</v>
      </c>
      <c r="BV2" s="58">
        <v>4430022.05</v>
      </c>
      <c r="BW2" s="58">
        <v>4430001</v>
      </c>
      <c r="BX2" s="58" t="s">
        <v>98</v>
      </c>
      <c r="BY2" s="58">
        <v>4330001</v>
      </c>
      <c r="BZ2" s="58">
        <v>4320001</v>
      </c>
      <c r="CA2" s="58">
        <v>4310001</v>
      </c>
      <c r="CB2" s="58" t="s">
        <v>99</v>
      </c>
      <c r="CC2" s="58">
        <v>4520001</v>
      </c>
      <c r="CD2" s="58">
        <v>4540004</v>
      </c>
      <c r="CE2" s="58">
        <v>4510015</v>
      </c>
      <c r="CF2" s="58">
        <v>4540005</v>
      </c>
      <c r="CG2" s="58">
        <v>4540001</v>
      </c>
      <c r="CH2" s="58">
        <v>4540101.01</v>
      </c>
      <c r="CI2" s="58">
        <v>4580001</v>
      </c>
      <c r="CJ2" s="58">
        <v>4580002</v>
      </c>
      <c r="CK2" s="58">
        <v>4540003</v>
      </c>
      <c r="CL2" s="58" t="s">
        <v>100</v>
      </c>
      <c r="CM2" s="58" t="s">
        <v>101</v>
      </c>
      <c r="CN2" s="58" t="s">
        <v>102</v>
      </c>
      <c r="CO2" s="58" t="s">
        <v>149</v>
      </c>
      <c r="CP2" s="58" t="s">
        <v>150</v>
      </c>
      <c r="CQ2" s="58" t="s">
        <v>151</v>
      </c>
      <c r="CR2" s="58" t="s">
        <v>152</v>
      </c>
      <c r="CS2" s="58" t="s">
        <v>153</v>
      </c>
      <c r="CT2" s="58" t="s">
        <v>154</v>
      </c>
    </row>
    <row r="3" spans="1:98" x14ac:dyDescent="0.2">
      <c r="A3" s="51">
        <v>200</v>
      </c>
      <c r="B3" s="51" t="s">
        <v>158</v>
      </c>
      <c r="C3" s="1">
        <f>VLOOKUP(C$2,'2021 Budget'!$A$9:$G$121,7,FALSE)</f>
        <v>106485.12</v>
      </c>
      <c r="D3" s="1" t="e">
        <f>VLOOKUP(D$2,'2021 Budget'!$A$9:$G$121,7,FALSE)</f>
        <v>#N/A</v>
      </c>
      <c r="E3" s="1" t="e">
        <f>VLOOKUP(E$2,'2021 Budget'!$A$9:$G$121,7,FALSE)</f>
        <v>#N/A</v>
      </c>
      <c r="F3" s="1" t="e">
        <f>VLOOKUP(F$2,'2021 Budget'!$A$9:$G$121,7,FALSE)</f>
        <v>#N/A</v>
      </c>
      <c r="G3" s="1" t="e">
        <f>VLOOKUP(G$2,'2021 Budget'!$A$9:$G$121,7,FALSE)</f>
        <v>#N/A</v>
      </c>
      <c r="H3" s="1" t="e">
        <f>VLOOKUP(H$2,'2021 Budget'!$A$9:$G$121,7,FALSE)</f>
        <v>#N/A</v>
      </c>
      <c r="I3" s="1" t="e">
        <f>VLOOKUP(I$2,'2021 Budget'!$A$9:$G$121,7,FALSE)</f>
        <v>#N/A</v>
      </c>
      <c r="J3" s="1" t="e">
        <f>VLOOKUP(J$2,'2021 Budget'!$A$9:$G$121,7,FALSE)</f>
        <v>#N/A</v>
      </c>
      <c r="K3" s="1" t="e">
        <f>VLOOKUP(K$2,'2021 Budget'!$A$9:$G$121,7,FALSE)</f>
        <v>#N/A</v>
      </c>
      <c r="L3" s="1" t="e">
        <f>VLOOKUP(L$2,'2021 Budget'!$A$9:$G$121,7,FALSE)</f>
        <v>#N/A</v>
      </c>
      <c r="M3" s="1" t="e">
        <f>VLOOKUP(M$2,'2021 Budget'!$A$9:$G$121,7,FALSE)</f>
        <v>#N/A</v>
      </c>
      <c r="N3" s="1">
        <f>VLOOKUP(N$2,'2021 Budget'!$A$9:$G$121,7,FALSE)</f>
        <v>161605.12</v>
      </c>
      <c r="O3" s="1" t="e">
        <f>VLOOKUP(O$2,'2021 Budget'!$A$9:$G$121,7,FALSE)</f>
        <v>#N/A</v>
      </c>
      <c r="P3" s="1" t="e">
        <f>VLOOKUP(P$2,'2021 Budget'!$A$9:$G$121,7,FALSE)</f>
        <v>#N/A</v>
      </c>
      <c r="Q3" s="1" t="e">
        <f>VLOOKUP(Q$2,'2021 Budget'!$A$9:$G$121,7,FALSE)</f>
        <v>#N/A</v>
      </c>
      <c r="R3" s="1" t="e">
        <f>VLOOKUP(R$2,'2021 Budget'!$A$9:$G$121,7,FALSE)</f>
        <v>#N/A</v>
      </c>
      <c r="S3" s="1">
        <f>VLOOKUP(S$2,'2021 Budget'!$A$9:$G$121,7,FALSE)</f>
        <v>780</v>
      </c>
      <c r="T3" s="1">
        <f>VLOOKUP(T$2,'2021 Budget'!$A$9:$G$121,7,FALSE)</f>
        <v>900</v>
      </c>
      <c r="U3" s="1">
        <f>VLOOKUP(U$2,'2021 Budget'!$A$9:$G$121,7,FALSE)</f>
        <v>2376</v>
      </c>
      <c r="V3" s="1" t="e">
        <f>VLOOKUP(V$2,'2021 Budget'!$A$9:$G$121,7,FALSE)</f>
        <v>#N/A</v>
      </c>
      <c r="W3" s="1" t="e">
        <f>VLOOKUP(W$2,'2021 Budget'!$A$9:$G$121,7,FALSE)</f>
        <v>#N/A</v>
      </c>
      <c r="X3" s="1" t="e">
        <f>VLOOKUP(X$2,'2021 Budget'!$A$9:$G$121,7,FALSE)</f>
        <v>#N/A</v>
      </c>
      <c r="Y3" s="1" t="e">
        <f>VLOOKUP(Y$2,'2021 Budget'!$A$9:$G$121,7,FALSE)</f>
        <v>#N/A</v>
      </c>
      <c r="Z3" s="1">
        <f>VLOOKUP(Z$2,'2021 Budget'!$A$9:$G$121,7,FALSE)</f>
        <v>0</v>
      </c>
      <c r="AA3" s="1">
        <f>VLOOKUP(AA$2,'2021 Budget'!$A$9:$G$121,7,FALSE)</f>
        <v>100</v>
      </c>
      <c r="AB3" s="1">
        <f>VLOOKUP(AB$2,'2021 Budget'!$A$9:$G$121,7,FALSE)</f>
        <v>0</v>
      </c>
      <c r="AC3" s="1">
        <f>VLOOKUP(AC$2,'2021 Budget'!$A$9:$G$121,7,FALSE)</f>
        <v>0</v>
      </c>
      <c r="AD3" s="1" t="e">
        <f>VLOOKUP(AD$2,'2021 Budget'!$A$9:$G$121,7,FALSE)</f>
        <v>#N/A</v>
      </c>
      <c r="AE3" s="1" t="e">
        <f>VLOOKUP(AE$2,'2021 Budget'!$A$9:$G$121,7,FALSE)</f>
        <v>#N/A</v>
      </c>
      <c r="AF3" s="1">
        <f>VLOOKUP(AF$2,'2021 Budget'!$A$9:$G$121,7,FALSE)</f>
        <v>300</v>
      </c>
      <c r="AG3" s="1" t="e">
        <f>VLOOKUP(AG$2,'2021 Budget'!$A$9:$G$121,7,FALSE)</f>
        <v>#N/A</v>
      </c>
      <c r="AH3" s="1">
        <f>VLOOKUP(AH$2,'2021 Budget'!$A$9:$G$121,7,FALSE)</f>
        <v>0</v>
      </c>
      <c r="AI3" s="1" t="e">
        <f>VLOOKUP(AI$2,'2021 Budget'!$A$9:$G$121,7,FALSE)</f>
        <v>#N/A</v>
      </c>
      <c r="AJ3" s="1">
        <f>VLOOKUP(AJ$2,'2021 Budget'!$A$9:$G$121,7,FALSE)</f>
        <v>300</v>
      </c>
      <c r="AK3" s="1">
        <f>VLOOKUP(AK$2,'2021 Budget'!$A$9:$G$121,7,FALSE)</f>
        <v>0</v>
      </c>
      <c r="AL3" s="1">
        <f>VLOOKUP(AL$2,'2021 Budget'!$A$9:$G$121,7,FALSE)</f>
        <v>0</v>
      </c>
      <c r="AM3" s="1" t="e">
        <f>VLOOKUP(AM$2,'2021 Budget'!$A$9:$G$121,7,FALSE)</f>
        <v>#N/A</v>
      </c>
      <c r="AN3" s="1" t="e">
        <f>VLOOKUP(AN$2,'2021 Budget'!$A$9:$G$121,7,FALSE)</f>
        <v>#N/A</v>
      </c>
      <c r="AO3" s="1">
        <f>VLOOKUP(AO$2,'2021 Budget'!$A$9:$G$121,7,FALSE)</f>
        <v>36384</v>
      </c>
      <c r="AP3" s="1">
        <f>VLOOKUP(AP$2,'2021 Budget'!$A$9:$G$121,7,FALSE)</f>
        <v>221448</v>
      </c>
      <c r="AQ3" s="1" t="e">
        <f>VLOOKUP(AQ$2,'2021 Budget'!$A$9:$G$121,7,FALSE)</f>
        <v>#N/A</v>
      </c>
      <c r="AR3" s="1" t="e">
        <f>VLOOKUP(AR$2,'2021 Budget'!$A$9:$G$121,7,FALSE)</f>
        <v>#N/A</v>
      </c>
      <c r="AS3" s="1">
        <f>VLOOKUP(AS$2,'2021 Budget'!$A$9:$G$121,7,FALSE)</f>
        <v>0</v>
      </c>
      <c r="AT3" s="1">
        <f>VLOOKUP(AT$2,'2021 Budget'!$A$9:$G$121,7,FALSE)</f>
        <v>0</v>
      </c>
      <c r="AU3" s="1">
        <f>VLOOKUP(AU$2,'2021 Budget'!$A$9:$G$121,7,FALSE)</f>
        <v>0</v>
      </c>
      <c r="AV3" s="1" t="e">
        <f>VLOOKUP(AV$2,'2021 Budget'!$A$9:$G$121,7,FALSE)</f>
        <v>#N/A</v>
      </c>
      <c r="AW3" s="1">
        <f>VLOOKUP(AW$2,'2021 Budget'!$A$9:$G$121,7,FALSE)</f>
        <v>0</v>
      </c>
      <c r="AX3" s="1" t="e">
        <f>VLOOKUP(AX$2,'2021 Budget'!$A$9:$G$121,7,FALSE)</f>
        <v>#N/A</v>
      </c>
      <c r="AY3" s="1" t="e">
        <f>VLOOKUP(AY$2,'2021 Budget'!$A$9:$G$121,7,FALSE)</f>
        <v>#N/A</v>
      </c>
      <c r="AZ3" s="1" t="e">
        <f>VLOOKUP(AZ$2,'2021 Budget'!$A$9:$G$121,7,FALSE)</f>
        <v>#N/A</v>
      </c>
      <c r="BA3" s="1">
        <f>VLOOKUP(BA$2,'2021 Budget'!$A$9:$G$121,7,FALSE)</f>
        <v>222168</v>
      </c>
      <c r="BB3" s="1" t="e">
        <f>VLOOKUP(BB$2,'2021 Budget'!$A$9:$G$121,7,FALSE)</f>
        <v>#N/A</v>
      </c>
      <c r="BC3" s="1" t="e">
        <f>VLOOKUP(BC$2,'2021 Budget'!$A$9:$G$121,7,FALSE)</f>
        <v>#N/A</v>
      </c>
      <c r="BD3" s="1" t="e">
        <f>VLOOKUP(BD$2,'2021 Budget'!$A$9:$G$121,7,FALSE)</f>
        <v>#N/A</v>
      </c>
      <c r="BE3" s="1">
        <f>VLOOKUP(BE$2,'2021 Budget'!$A$9:$G$121,7,FALSE)</f>
        <v>0</v>
      </c>
      <c r="BF3" s="1" t="e">
        <f>VLOOKUP(BF$2,'2021 Budget'!$A$9:$G$121,7,FALSE)</f>
        <v>#N/A</v>
      </c>
      <c r="BG3" s="1">
        <f>VLOOKUP(BG$2,'2021 Budget'!$A$9:$G$121,7,FALSE)</f>
        <v>0</v>
      </c>
      <c r="BH3" s="1">
        <f>VLOOKUP(BH$2,'2021 Budget'!$A$9:$G$121,7,FALSE)</f>
        <v>0</v>
      </c>
      <c r="BI3" s="1" t="e">
        <f>VLOOKUP(BI$2,'2021 Budget'!$A$9:$G$121,7,FALSE)</f>
        <v>#N/A</v>
      </c>
      <c r="BJ3" s="1" t="e">
        <f>VLOOKUP(BJ$2,'2021 Budget'!$A$9:$G$121,7,FALSE)</f>
        <v>#N/A</v>
      </c>
      <c r="BK3" s="1">
        <f>VLOOKUP(BK$2,'2021 Budget'!$A$9:$G$121,7,FALSE)</f>
        <v>0</v>
      </c>
      <c r="BL3" s="1" t="e">
        <f>VLOOKUP(BL$2,'2021 Budget'!$A$9:$G$121,7,FALSE)</f>
        <v>#N/A</v>
      </c>
      <c r="BM3" s="1">
        <f>VLOOKUP(BM$2,'2021 Budget'!$A$9:$G$121,7,FALSE)</f>
        <v>0</v>
      </c>
      <c r="BN3" s="1">
        <f>VLOOKUP(BN$2,'2021 Budget'!$A$9:$G$121,7,FALSE)</f>
        <v>0</v>
      </c>
      <c r="BO3" s="1" t="e">
        <f>VLOOKUP(BO$2,'2021 Budget'!$A$9:$G$121,7,FALSE)</f>
        <v>#N/A</v>
      </c>
      <c r="BP3" s="1">
        <f>VLOOKUP(BP$2,'2021 Budget'!$A$9:$G$121,7,FALSE)</f>
        <v>0</v>
      </c>
      <c r="BQ3" s="1">
        <f>VLOOKUP(BQ$2,'2021 Budget'!$A$9:$G$121,7,FALSE)</f>
        <v>3000</v>
      </c>
      <c r="BR3" s="1" t="e">
        <f>VLOOKUP(BR$2,'2021 Budget'!$A$9:$G$121,7,FALSE)</f>
        <v>#N/A</v>
      </c>
      <c r="BS3" s="1">
        <f>VLOOKUP(BS$2,'2021 Budget'!$A$9:$G$121,7,FALSE)</f>
        <v>1920</v>
      </c>
      <c r="BT3" s="1">
        <f>VLOOKUP(BT$2,'2021 Budget'!$A$9:$G$121,7,FALSE)</f>
        <v>4500</v>
      </c>
      <c r="BU3" s="1">
        <f>VLOOKUP(BU$2,'2021 Budget'!$A$9:$G$121,7,FALSE)</f>
        <v>600</v>
      </c>
      <c r="BV3" s="1" t="e">
        <f>VLOOKUP(BV$2,'2021 Budget'!$A$9:$G$121,7,FALSE)</f>
        <v>#N/A</v>
      </c>
      <c r="BW3" s="1">
        <f>VLOOKUP(BW$2,'2021 Budget'!$A$9:$G$121,7,FALSE)</f>
        <v>0</v>
      </c>
      <c r="BX3" s="1" t="e">
        <f>VLOOKUP(BX$2,'2021 Budget'!$A$9:$G$121,7,FALSE)</f>
        <v>#N/A</v>
      </c>
      <c r="BY3" s="1">
        <f>VLOOKUP(BY$2,'2021 Budget'!$A$9:$G$121,7,FALSE)</f>
        <v>360</v>
      </c>
      <c r="BZ3" s="1">
        <f>VLOOKUP(BZ$2,'2021 Budget'!$A$9:$G$121,7,FALSE)</f>
        <v>330</v>
      </c>
      <c r="CA3" s="1">
        <f>VLOOKUP(CA$2,'2021 Budget'!$A$9:$G$121,7,FALSE)</f>
        <v>0</v>
      </c>
      <c r="CB3" s="1" t="e">
        <f>VLOOKUP(CB$2,'2021 Budget'!$A$9:$G$121,7,FALSE)</f>
        <v>#N/A</v>
      </c>
      <c r="CC3" s="1">
        <f>VLOOKUP(CC$2,'2021 Budget'!$A$9:$G$121,7,FALSE)</f>
        <v>0</v>
      </c>
      <c r="CD3" s="1">
        <f>VLOOKUP(CD$2,'2021 Budget'!$A$9:$G$121,7,FALSE)</f>
        <v>0</v>
      </c>
      <c r="CE3" s="1">
        <f>VLOOKUP(CE$2,'2021 Budget'!$A$9:$G$121,7,FALSE)</f>
        <v>2160</v>
      </c>
      <c r="CF3" s="1">
        <f>VLOOKUP(CF$2,'2021 Budget'!$A$9:$G$121,7,FALSE)</f>
        <v>1162.8</v>
      </c>
      <c r="CG3" s="1">
        <f>VLOOKUP(CG$2,'2021 Budget'!$A$9:$G$121,7,FALSE)</f>
        <v>0</v>
      </c>
      <c r="CH3" s="1" t="e">
        <f>VLOOKUP(CH$2,'2021 Budget'!$A$9:$G$121,7,FALSE)</f>
        <v>#N/A</v>
      </c>
      <c r="CI3" s="1">
        <f>VLOOKUP(CI$2,'2021 Budget'!$A$9:$G$121,7,FALSE)</f>
        <v>0</v>
      </c>
      <c r="CJ3" s="1">
        <f>VLOOKUP(CJ$2,'2021 Budget'!$A$9:$G$121,7,FALSE)</f>
        <v>4284</v>
      </c>
      <c r="CK3" s="1">
        <f>VLOOKUP(CK$2,'2021 Budget'!$A$9:$G$121,7,FALSE)</f>
        <v>0</v>
      </c>
      <c r="CL3" s="1" t="e">
        <f>VLOOKUP(CL$2,'2021 Budget'!$A$9:$G$121,7,FALSE)</f>
        <v>#N/A</v>
      </c>
      <c r="CM3" s="1" t="e">
        <f>VLOOKUP(CM$2,'2021 Budget'!$A$9:$G$121,7,FALSE)</f>
        <v>#N/A</v>
      </c>
      <c r="CN3" s="1" t="e">
        <f>VLOOKUP(CN$2,'2021 Budget'!$A$9:$G$121,7,FALSE)</f>
        <v>#N/A</v>
      </c>
      <c r="CO3" s="1" t="e">
        <f>VLOOKUP(CO$2,'2021 Budget'!$A$9:$G$121,7,FALSE)</f>
        <v>#N/A</v>
      </c>
      <c r="CP3" s="1" t="e">
        <f>VLOOKUP(CP$2,'2021 Budget'!$A$9:$G$121,7,FALSE)</f>
        <v>#N/A</v>
      </c>
      <c r="CQ3" s="1">
        <f>VLOOKUP(CQ$2,'2021 Budget'!$A$9:$G$121,7,FALSE)</f>
        <v>4800</v>
      </c>
      <c r="CR3" s="1">
        <f>VLOOKUP(CR$2,'2021 Budget'!$A$9:$G$121,7,FALSE)</f>
        <v>0</v>
      </c>
      <c r="CS3" s="1">
        <f>VLOOKUP(CS$2,'2021 Budget'!$A$9:$G$121,7,FALSE)</f>
        <v>4800</v>
      </c>
      <c r="CT3" s="1">
        <f>VLOOKUP(CT$2,'2021 Budget'!$A$9:$G$121,7,FALSE)</f>
        <v>-143139.68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0"/>
  <sheetViews>
    <sheetView view="pageBreakPreview" zoomScaleSheetLayoutView="100" workbookViewId="0"/>
  </sheetViews>
  <sheetFormatPr defaultColWidth="8.85546875" defaultRowHeight="21" x14ac:dyDescent="0.35"/>
  <cols>
    <col min="1" max="1" width="16.85546875" style="79" customWidth="1"/>
    <col min="2" max="2" width="8.85546875" style="76"/>
    <col min="3" max="3" width="9.28515625" style="76" bestFit="1" customWidth="1"/>
    <col min="4" max="4" width="8.85546875" style="76"/>
    <col min="5" max="5" width="84.42578125" style="76" bestFit="1" customWidth="1"/>
    <col min="6" max="6" width="16.28515625" style="79" bestFit="1" customWidth="1"/>
    <col min="7" max="7" width="8.85546875" style="78"/>
    <col min="8" max="16384" width="8.85546875" style="79"/>
  </cols>
  <sheetData>
    <row r="1" spans="1:6" x14ac:dyDescent="0.35">
      <c r="A1" s="59" t="s">
        <v>160</v>
      </c>
      <c r="B1" s="60"/>
      <c r="C1" s="60"/>
      <c r="D1" s="60"/>
      <c r="E1" s="60"/>
      <c r="F1" s="77"/>
    </row>
    <row r="2" spans="1:6" x14ac:dyDescent="0.35">
      <c r="A2" s="59" t="s">
        <v>290</v>
      </c>
      <c r="B2" s="60"/>
      <c r="C2" s="60"/>
      <c r="D2" s="60"/>
      <c r="E2" s="59"/>
      <c r="F2" s="77"/>
    </row>
    <row r="3" spans="1:6" x14ac:dyDescent="0.35">
      <c r="A3" s="59" t="s">
        <v>161</v>
      </c>
      <c r="B3" s="60"/>
      <c r="C3" s="60"/>
      <c r="D3" s="60"/>
      <c r="E3" s="61" t="str">
        <f>+'2021 Budget'!C3</f>
        <v>Mohawk North</v>
      </c>
      <c r="F3" s="77"/>
    </row>
    <row r="4" spans="1:6" x14ac:dyDescent="0.35">
      <c r="A4" s="59" t="s">
        <v>162</v>
      </c>
      <c r="B4" s="60"/>
      <c r="C4" s="60"/>
      <c r="D4" s="60"/>
      <c r="E4" s="62" t="s">
        <v>163</v>
      </c>
      <c r="F4" s="77"/>
    </row>
    <row r="5" spans="1:6" x14ac:dyDescent="0.35">
      <c r="A5" s="59" t="s">
        <v>164</v>
      </c>
      <c r="B5" s="60"/>
      <c r="C5" s="60"/>
      <c r="D5" s="60" t="s">
        <v>165</v>
      </c>
      <c r="E5" s="63">
        <v>6997</v>
      </c>
      <c r="F5" s="77"/>
    </row>
    <row r="6" spans="1:6" x14ac:dyDescent="0.35">
      <c r="A6" s="60" t="s">
        <v>166</v>
      </c>
      <c r="B6" s="60"/>
      <c r="C6" s="60"/>
      <c r="D6" s="60" t="s">
        <v>167</v>
      </c>
      <c r="E6" s="64">
        <v>200</v>
      </c>
      <c r="F6" s="77"/>
    </row>
    <row r="7" spans="1:6" x14ac:dyDescent="0.35">
      <c r="A7" s="65" t="s">
        <v>168</v>
      </c>
      <c r="B7" s="65" t="s">
        <v>169</v>
      </c>
      <c r="C7" s="65" t="s">
        <v>170</v>
      </c>
      <c r="D7" s="65" t="s">
        <v>171</v>
      </c>
      <c r="E7" s="65" t="s">
        <v>172</v>
      </c>
      <c r="F7" s="65" t="s">
        <v>289</v>
      </c>
    </row>
    <row r="8" spans="1:6" x14ac:dyDescent="0.35">
      <c r="A8" s="59" t="s">
        <v>173</v>
      </c>
      <c r="B8" s="60"/>
      <c r="C8" s="60"/>
      <c r="D8" s="60"/>
      <c r="E8" s="60"/>
      <c r="F8" s="80"/>
    </row>
    <row r="9" spans="1:6" x14ac:dyDescent="0.35">
      <c r="A9" s="66">
        <v>3110001</v>
      </c>
      <c r="B9" s="66">
        <v>100</v>
      </c>
      <c r="C9" s="67">
        <v>510</v>
      </c>
      <c r="D9" s="67" t="s">
        <v>174</v>
      </c>
      <c r="E9" s="60" t="s">
        <v>175</v>
      </c>
      <c r="F9" s="80">
        <f>+'2021 Budget'!G9</f>
        <v>106485.12</v>
      </c>
    </row>
    <row r="10" spans="1:6" x14ac:dyDescent="0.35">
      <c r="A10" s="66">
        <v>3690001</v>
      </c>
      <c r="B10" s="66">
        <v>100</v>
      </c>
      <c r="C10" s="67">
        <v>510</v>
      </c>
      <c r="D10" s="67" t="s">
        <v>174</v>
      </c>
      <c r="E10" s="60" t="s">
        <v>176</v>
      </c>
      <c r="F10" s="80">
        <f>SUM('2021 Budget'!G12:G14)+'2021 Budget'!G10</f>
        <v>55000</v>
      </c>
    </row>
    <row r="11" spans="1:6" x14ac:dyDescent="0.35">
      <c r="A11" s="66">
        <v>3690001</v>
      </c>
      <c r="B11" s="66">
        <v>100</v>
      </c>
      <c r="C11" s="67">
        <v>510</v>
      </c>
      <c r="D11" s="67" t="s">
        <v>174</v>
      </c>
      <c r="E11" s="60" t="s">
        <v>66</v>
      </c>
      <c r="F11" s="80">
        <f>+'2021 Budget'!G11</f>
        <v>120</v>
      </c>
    </row>
    <row r="12" spans="1:6" x14ac:dyDescent="0.35">
      <c r="A12" s="60"/>
      <c r="B12" s="66"/>
      <c r="C12" s="66"/>
      <c r="D12" s="66"/>
      <c r="E12" s="59" t="s">
        <v>177</v>
      </c>
      <c r="F12" s="80">
        <f>SUM(F9:F11)</f>
        <v>161605.12</v>
      </c>
    </row>
    <row r="13" spans="1:6" x14ac:dyDescent="0.35">
      <c r="A13" s="60"/>
      <c r="B13" s="66"/>
      <c r="C13" s="66"/>
      <c r="D13" s="66"/>
      <c r="E13" s="60"/>
      <c r="F13" s="80"/>
    </row>
    <row r="14" spans="1:6" x14ac:dyDescent="0.35">
      <c r="A14" s="59" t="s">
        <v>11</v>
      </c>
      <c r="B14" s="66"/>
      <c r="C14" s="66"/>
      <c r="D14" s="66"/>
      <c r="E14" s="60"/>
      <c r="F14" s="80"/>
    </row>
    <row r="15" spans="1:6" x14ac:dyDescent="0.35">
      <c r="A15" s="59" t="s">
        <v>178</v>
      </c>
      <c r="B15" s="66"/>
      <c r="C15" s="66"/>
      <c r="D15" s="66"/>
      <c r="E15" s="60"/>
      <c r="F15" s="80"/>
    </row>
    <row r="16" spans="1:6" x14ac:dyDescent="0.35">
      <c r="A16" s="66">
        <v>4110001</v>
      </c>
      <c r="B16" s="66">
        <v>100</v>
      </c>
      <c r="C16" s="66">
        <v>510</v>
      </c>
      <c r="D16" s="67" t="s">
        <v>174</v>
      </c>
      <c r="E16" s="60" t="s">
        <v>179</v>
      </c>
      <c r="F16" s="80">
        <f>+'2021 Budget'!G18+'2021 Budget'!G19</f>
        <v>75</v>
      </c>
    </row>
    <row r="17" spans="1:7" x14ac:dyDescent="0.35">
      <c r="A17" s="66">
        <v>4110101</v>
      </c>
      <c r="B17" s="66">
        <v>100</v>
      </c>
      <c r="C17" s="66">
        <v>510</v>
      </c>
      <c r="D17" s="67" t="s">
        <v>174</v>
      </c>
      <c r="E17" s="60" t="s">
        <v>180</v>
      </c>
      <c r="F17" s="80">
        <v>0</v>
      </c>
    </row>
    <row r="18" spans="1:7" x14ac:dyDescent="0.35">
      <c r="A18" s="66">
        <v>4130004</v>
      </c>
      <c r="B18" s="66">
        <v>100</v>
      </c>
      <c r="C18" s="66">
        <v>510</v>
      </c>
      <c r="D18" s="67" t="s">
        <v>174</v>
      </c>
      <c r="E18" s="81" t="s">
        <v>181</v>
      </c>
      <c r="F18" s="80">
        <f>+'2021 Budget'!G27+'2021 Budget'!G28</f>
        <v>16448</v>
      </c>
    </row>
    <row r="19" spans="1:7" x14ac:dyDescent="0.35">
      <c r="A19" s="66">
        <v>4140001</v>
      </c>
      <c r="B19" s="66">
        <v>100</v>
      </c>
      <c r="C19" s="66">
        <v>510</v>
      </c>
      <c r="D19" s="67" t="s">
        <v>174</v>
      </c>
      <c r="E19" s="60" t="s">
        <v>182</v>
      </c>
      <c r="F19" s="80" t="e">
        <f>+'2021 Budget'!#REF!</f>
        <v>#REF!</v>
      </c>
    </row>
    <row r="20" spans="1:7" x14ac:dyDescent="0.35">
      <c r="A20" s="66">
        <v>4150003</v>
      </c>
      <c r="B20" s="66">
        <v>100</v>
      </c>
      <c r="C20" s="66">
        <v>510</v>
      </c>
      <c r="D20" s="67" t="s">
        <v>174</v>
      </c>
      <c r="E20" s="60" t="s">
        <v>183</v>
      </c>
      <c r="F20" s="80">
        <f>+'2021 Budget'!G36</f>
        <v>300</v>
      </c>
    </row>
    <row r="21" spans="1:7" x14ac:dyDescent="0.35">
      <c r="A21" s="66">
        <v>4170001</v>
      </c>
      <c r="B21" s="66">
        <v>100</v>
      </c>
      <c r="C21" s="66">
        <v>510</v>
      </c>
      <c r="D21" s="67" t="s">
        <v>174</v>
      </c>
      <c r="E21" s="60" t="s">
        <v>184</v>
      </c>
      <c r="F21" s="80" t="e">
        <f>+'2021 Budget'!#REF!</f>
        <v>#REF!</v>
      </c>
    </row>
    <row r="22" spans="1:7" x14ac:dyDescent="0.35">
      <c r="A22" s="66">
        <v>4190001</v>
      </c>
      <c r="B22" s="66">
        <v>100</v>
      </c>
      <c r="C22" s="66">
        <v>510</v>
      </c>
      <c r="D22" s="67" t="s">
        <v>174</v>
      </c>
      <c r="E22" s="60" t="s">
        <v>185</v>
      </c>
      <c r="F22" s="80">
        <f>+'2021 Budget'!G20</f>
        <v>11400</v>
      </c>
    </row>
    <row r="23" spans="1:7" x14ac:dyDescent="0.35">
      <c r="A23" s="66">
        <v>4190002</v>
      </c>
      <c r="B23" s="66">
        <v>100</v>
      </c>
      <c r="C23" s="66">
        <v>510</v>
      </c>
      <c r="D23" s="67" t="s">
        <v>174</v>
      </c>
      <c r="E23" s="68" t="s">
        <v>186</v>
      </c>
      <c r="F23" s="80">
        <f>+'2021 Budget'!G37</f>
        <v>0</v>
      </c>
    </row>
    <row r="24" spans="1:7" x14ac:dyDescent="0.35">
      <c r="A24" s="66">
        <v>4190004</v>
      </c>
      <c r="B24" s="66">
        <v>100</v>
      </c>
      <c r="C24" s="66">
        <v>510</v>
      </c>
      <c r="D24" s="67" t="s">
        <v>174</v>
      </c>
      <c r="E24" s="68" t="s">
        <v>187</v>
      </c>
      <c r="F24" s="80">
        <v>0</v>
      </c>
    </row>
    <row r="25" spans="1:7" x14ac:dyDescent="0.35">
      <c r="A25" s="66">
        <v>4190005</v>
      </c>
      <c r="B25" s="66">
        <v>100</v>
      </c>
      <c r="C25" s="66">
        <v>510</v>
      </c>
      <c r="D25" s="67" t="s">
        <v>174</v>
      </c>
      <c r="E25" s="68" t="s">
        <v>188</v>
      </c>
      <c r="F25" s="80">
        <v>0</v>
      </c>
    </row>
    <row r="26" spans="1:7" x14ac:dyDescent="0.35">
      <c r="A26" s="66">
        <v>4190008</v>
      </c>
      <c r="B26" s="66">
        <v>100</v>
      </c>
      <c r="C26" s="66">
        <v>510</v>
      </c>
      <c r="D26" s="67" t="s">
        <v>174</v>
      </c>
      <c r="E26" s="68" t="s">
        <v>189</v>
      </c>
      <c r="F26" s="80">
        <f>+'2021 Budget'!G33</f>
        <v>0</v>
      </c>
    </row>
    <row r="27" spans="1:7" x14ac:dyDescent="0.35">
      <c r="A27" s="66">
        <v>4190011</v>
      </c>
      <c r="B27" s="66">
        <v>100</v>
      </c>
      <c r="C27" s="66">
        <v>510</v>
      </c>
      <c r="D27" s="67" t="s">
        <v>174</v>
      </c>
      <c r="E27" s="68" t="s">
        <v>190</v>
      </c>
      <c r="F27" s="80">
        <f>+'2021 Budget'!G21</f>
        <v>0</v>
      </c>
    </row>
    <row r="28" spans="1:7" x14ac:dyDescent="0.35">
      <c r="A28" s="66">
        <v>4190014</v>
      </c>
      <c r="B28" s="66">
        <v>100</v>
      </c>
      <c r="C28" s="66">
        <v>510</v>
      </c>
      <c r="D28" s="67" t="s">
        <v>174</v>
      </c>
      <c r="E28" s="68" t="s">
        <v>191</v>
      </c>
      <c r="F28" s="80">
        <f>+'2021 Budget'!G30</f>
        <v>100</v>
      </c>
    </row>
    <row r="29" spans="1:7" x14ac:dyDescent="0.35">
      <c r="A29" s="66">
        <v>4190030</v>
      </c>
      <c r="B29" s="66">
        <v>100</v>
      </c>
      <c r="C29" s="66">
        <v>510</v>
      </c>
      <c r="D29" s="67" t="s">
        <v>174</v>
      </c>
      <c r="E29" s="68" t="s">
        <v>192</v>
      </c>
      <c r="F29" s="80">
        <f>+'2021 Budget'!G38+'2021 Budget'!G42</f>
        <v>135</v>
      </c>
    </row>
    <row r="30" spans="1:7" x14ac:dyDescent="0.35">
      <c r="A30" s="66">
        <v>4190049</v>
      </c>
      <c r="B30" s="66">
        <v>100</v>
      </c>
      <c r="C30" s="66">
        <v>510</v>
      </c>
      <c r="D30" s="67" t="s">
        <v>174</v>
      </c>
      <c r="E30" s="68" t="s">
        <v>291</v>
      </c>
      <c r="F30" s="80">
        <f>+'2021 Budget'!G35+'2021 Budget'!G26+'2021 Budget'!G43</f>
        <v>3330</v>
      </c>
      <c r="G30" s="87"/>
    </row>
    <row r="31" spans="1:7" x14ac:dyDescent="0.35">
      <c r="A31" s="66">
        <v>4190051</v>
      </c>
      <c r="B31" s="66">
        <v>100</v>
      </c>
      <c r="C31" s="66">
        <v>510</v>
      </c>
      <c r="D31" s="67" t="s">
        <v>174</v>
      </c>
      <c r="E31" s="68" t="s">
        <v>193</v>
      </c>
      <c r="F31" s="80">
        <f>+'2021 Budget'!G34</f>
        <v>0</v>
      </c>
    </row>
    <row r="32" spans="1:7" x14ac:dyDescent="0.35">
      <c r="A32" s="66">
        <v>4190052</v>
      </c>
      <c r="B32" s="66">
        <v>100</v>
      </c>
      <c r="C32" s="66">
        <v>510</v>
      </c>
      <c r="D32" s="67" t="s">
        <v>174</v>
      </c>
      <c r="E32" s="68" t="s">
        <v>194</v>
      </c>
      <c r="F32" s="80">
        <v>0</v>
      </c>
    </row>
    <row r="33" spans="1:7" x14ac:dyDescent="0.35">
      <c r="A33" s="66">
        <v>4190053</v>
      </c>
      <c r="B33" s="66">
        <v>100</v>
      </c>
      <c r="C33" s="66">
        <v>510</v>
      </c>
      <c r="D33" s="67" t="s">
        <v>174</v>
      </c>
      <c r="E33" s="68" t="s">
        <v>195</v>
      </c>
      <c r="F33" s="80">
        <v>0</v>
      </c>
    </row>
    <row r="34" spans="1:7" x14ac:dyDescent="0.35">
      <c r="A34" s="66">
        <v>4190054</v>
      </c>
      <c r="B34" s="66">
        <v>100</v>
      </c>
      <c r="C34" s="66">
        <v>510</v>
      </c>
      <c r="D34" s="67" t="s">
        <v>174</v>
      </c>
      <c r="E34" s="68" t="s">
        <v>196</v>
      </c>
      <c r="F34" s="80">
        <v>0</v>
      </c>
    </row>
    <row r="35" spans="1:7" s="76" customFormat="1" x14ac:dyDescent="0.35">
      <c r="A35" s="66">
        <v>4192001</v>
      </c>
      <c r="B35" s="66">
        <v>100</v>
      </c>
      <c r="C35" s="66">
        <v>510</v>
      </c>
      <c r="D35" s="67" t="s">
        <v>174</v>
      </c>
      <c r="E35" s="68" t="s">
        <v>197</v>
      </c>
      <c r="F35" s="69">
        <f>+'2021 Budget'!G40</f>
        <v>0</v>
      </c>
      <c r="G35" s="82"/>
    </row>
    <row r="36" spans="1:7" s="76" customFormat="1" x14ac:dyDescent="0.35">
      <c r="A36" s="66">
        <v>4192002</v>
      </c>
      <c r="B36" s="66">
        <v>100</v>
      </c>
      <c r="C36" s="66">
        <v>510</v>
      </c>
      <c r="D36" s="67" t="s">
        <v>174</v>
      </c>
      <c r="E36" s="68" t="s">
        <v>198</v>
      </c>
      <c r="F36" s="69">
        <f>+'2021 Budget'!G41</f>
        <v>0</v>
      </c>
      <c r="G36" s="82"/>
    </row>
    <row r="37" spans="1:7" s="76" customFormat="1" x14ac:dyDescent="0.35">
      <c r="A37" s="66">
        <v>4193001</v>
      </c>
      <c r="B37" s="66">
        <v>100</v>
      </c>
      <c r="C37" s="66">
        <v>510</v>
      </c>
      <c r="D37" s="67" t="s">
        <v>174</v>
      </c>
      <c r="E37" s="68" t="s">
        <v>199</v>
      </c>
      <c r="F37" s="69">
        <f>+'2021 Budget'!G29</f>
        <v>0</v>
      </c>
      <c r="G37" s="82"/>
    </row>
    <row r="38" spans="1:7" x14ac:dyDescent="0.35">
      <c r="A38" s="66">
        <v>4195001</v>
      </c>
      <c r="B38" s="66">
        <v>100</v>
      </c>
      <c r="C38" s="66">
        <v>510</v>
      </c>
      <c r="D38" s="67" t="s">
        <v>174</v>
      </c>
      <c r="E38" s="68" t="s">
        <v>200</v>
      </c>
      <c r="F38" s="80">
        <f>+'2021 Budget'!G22</f>
        <v>780</v>
      </c>
    </row>
    <row r="39" spans="1:7" x14ac:dyDescent="0.35">
      <c r="A39" s="60"/>
      <c r="B39" s="66"/>
      <c r="C39" s="66"/>
      <c r="D39" s="66"/>
      <c r="E39" s="59" t="s">
        <v>201</v>
      </c>
      <c r="F39" s="80" t="e">
        <f>SUM(F16:F38)</f>
        <v>#REF!</v>
      </c>
    </row>
    <row r="40" spans="1:7" x14ac:dyDescent="0.35">
      <c r="A40" s="60"/>
      <c r="B40" s="66"/>
      <c r="C40" s="66"/>
      <c r="D40" s="66"/>
      <c r="E40" s="60"/>
      <c r="F40" s="80"/>
    </row>
    <row r="41" spans="1:7" x14ac:dyDescent="0.35">
      <c r="A41" s="59" t="s">
        <v>202</v>
      </c>
      <c r="B41" s="66"/>
      <c r="C41" s="66"/>
      <c r="D41" s="66"/>
      <c r="E41" s="60"/>
      <c r="F41" s="80"/>
    </row>
    <row r="42" spans="1:7" x14ac:dyDescent="0.35">
      <c r="A42" s="66">
        <v>4210001</v>
      </c>
      <c r="B42" s="66">
        <v>100</v>
      </c>
      <c r="C42" s="66">
        <v>510</v>
      </c>
      <c r="D42" s="67" t="s">
        <v>174</v>
      </c>
      <c r="E42" s="60" t="s">
        <v>203</v>
      </c>
      <c r="F42" s="80">
        <f>+'2021 Budget'!G24</f>
        <v>900</v>
      </c>
    </row>
    <row r="43" spans="1:7" x14ac:dyDescent="0.35">
      <c r="A43" s="66">
        <v>4220001</v>
      </c>
      <c r="B43" s="66">
        <v>100</v>
      </c>
      <c r="C43" s="66">
        <v>510</v>
      </c>
      <c r="D43" s="67" t="s">
        <v>174</v>
      </c>
      <c r="E43" s="60" t="s">
        <v>204</v>
      </c>
      <c r="F43" s="80">
        <f>+'2021 Budget'!G25</f>
        <v>2376</v>
      </c>
    </row>
    <row r="44" spans="1:7" x14ac:dyDescent="0.35">
      <c r="A44" s="66">
        <v>4220002</v>
      </c>
      <c r="B44" s="66">
        <v>100</v>
      </c>
      <c r="C44" s="66">
        <v>510</v>
      </c>
      <c r="D44" s="67" t="s">
        <v>205</v>
      </c>
      <c r="E44" s="60" t="s">
        <v>204</v>
      </c>
      <c r="F44" s="80">
        <v>0</v>
      </c>
    </row>
    <row r="45" spans="1:7" x14ac:dyDescent="0.35">
      <c r="A45" s="66">
        <v>4230001</v>
      </c>
      <c r="B45" s="66">
        <v>100</v>
      </c>
      <c r="C45" s="66">
        <v>510</v>
      </c>
      <c r="D45" s="67" t="s">
        <v>174</v>
      </c>
      <c r="E45" s="60" t="s">
        <v>206</v>
      </c>
      <c r="F45" s="80">
        <f>+'2021 Budget'!G39</f>
        <v>300</v>
      </c>
    </row>
    <row r="46" spans="1:7" x14ac:dyDescent="0.35">
      <c r="A46" s="60"/>
      <c r="B46" s="66"/>
      <c r="C46" s="66"/>
      <c r="D46" s="66"/>
      <c r="E46" s="59" t="s">
        <v>207</v>
      </c>
      <c r="F46" s="80">
        <f>SUM(F42:F45)</f>
        <v>3576</v>
      </c>
    </row>
    <row r="47" spans="1:7" x14ac:dyDescent="0.35">
      <c r="A47" s="60"/>
      <c r="B47" s="66"/>
      <c r="C47" s="66"/>
      <c r="D47" s="66"/>
      <c r="E47" s="60"/>
      <c r="F47" s="80"/>
    </row>
    <row r="48" spans="1:7" x14ac:dyDescent="0.35">
      <c r="A48" s="59" t="s">
        <v>208</v>
      </c>
      <c r="B48" s="66"/>
      <c r="C48" s="66"/>
      <c r="D48" s="66"/>
      <c r="E48" s="60"/>
      <c r="F48" s="80"/>
    </row>
    <row r="49" spans="1:7" s="76" customFormat="1" x14ac:dyDescent="0.35">
      <c r="A49" s="66">
        <v>4310001</v>
      </c>
      <c r="B49" s="66">
        <v>100</v>
      </c>
      <c r="C49" s="66">
        <v>510</v>
      </c>
      <c r="D49" s="67" t="s">
        <v>174</v>
      </c>
      <c r="E49" s="60" t="s">
        <v>209</v>
      </c>
      <c r="F49" s="69">
        <f>+'2021 Budget'!G93</f>
        <v>0</v>
      </c>
      <c r="G49" s="82"/>
    </row>
    <row r="50" spans="1:7" s="76" customFormat="1" x14ac:dyDescent="0.35">
      <c r="A50" s="66">
        <v>4310002</v>
      </c>
      <c r="B50" s="66">
        <v>100</v>
      </c>
      <c r="C50" s="66">
        <v>510</v>
      </c>
      <c r="D50" s="67" t="s">
        <v>174</v>
      </c>
      <c r="E50" s="60" t="s">
        <v>210</v>
      </c>
      <c r="F50" s="69">
        <v>0</v>
      </c>
      <c r="G50" s="82"/>
    </row>
    <row r="51" spans="1:7" s="83" customFormat="1" x14ac:dyDescent="0.35">
      <c r="A51" s="66">
        <v>4320001</v>
      </c>
      <c r="B51" s="66">
        <v>100</v>
      </c>
      <c r="C51" s="66">
        <v>510</v>
      </c>
      <c r="D51" s="67" t="s">
        <v>174</v>
      </c>
      <c r="E51" s="60" t="s">
        <v>211</v>
      </c>
      <c r="F51" s="80">
        <f>+'2021 Budget'!G92</f>
        <v>330</v>
      </c>
      <c r="G51" s="78"/>
    </row>
    <row r="52" spans="1:7" s="83" customFormat="1" x14ac:dyDescent="0.35">
      <c r="A52" s="66">
        <v>4330001</v>
      </c>
      <c r="B52" s="66">
        <v>100</v>
      </c>
      <c r="C52" s="66">
        <v>510</v>
      </c>
      <c r="D52" s="67" t="s">
        <v>174</v>
      </c>
      <c r="E52" s="60" t="s">
        <v>212</v>
      </c>
      <c r="F52" s="80">
        <f>+'2021 Budget'!G91</f>
        <v>360</v>
      </c>
      <c r="G52" s="78"/>
    </row>
    <row r="53" spans="1:7" x14ac:dyDescent="0.35">
      <c r="A53" s="66">
        <v>4350001</v>
      </c>
      <c r="B53" s="66">
        <v>100</v>
      </c>
      <c r="C53" s="66">
        <v>510</v>
      </c>
      <c r="D53" s="67" t="s">
        <v>174</v>
      </c>
      <c r="E53" s="60" t="s">
        <v>213</v>
      </c>
      <c r="F53" s="80">
        <v>0</v>
      </c>
    </row>
    <row r="54" spans="1:7" x14ac:dyDescent="0.35">
      <c r="A54" s="66">
        <v>4350011</v>
      </c>
      <c r="B54" s="66">
        <v>100</v>
      </c>
      <c r="C54" s="66">
        <v>510</v>
      </c>
      <c r="D54" s="67" t="s">
        <v>174</v>
      </c>
      <c r="E54" s="60" t="s">
        <v>214</v>
      </c>
      <c r="F54" s="80">
        <v>0</v>
      </c>
    </row>
    <row r="55" spans="1:7" x14ac:dyDescent="0.35">
      <c r="A55" s="66">
        <v>4350071</v>
      </c>
      <c r="B55" s="66">
        <v>100</v>
      </c>
      <c r="C55" s="66">
        <v>510</v>
      </c>
      <c r="D55" s="67" t="s">
        <v>174</v>
      </c>
      <c r="E55" s="60" t="s">
        <v>215</v>
      </c>
      <c r="F55" s="80">
        <v>0</v>
      </c>
    </row>
    <row r="56" spans="1:7" x14ac:dyDescent="0.35">
      <c r="A56" s="66">
        <v>4350081</v>
      </c>
      <c r="B56" s="66">
        <v>100</v>
      </c>
      <c r="C56" s="66">
        <v>510</v>
      </c>
      <c r="D56" s="67" t="s">
        <v>174</v>
      </c>
      <c r="E56" s="60" t="s">
        <v>216</v>
      </c>
      <c r="F56" s="80">
        <f>+'2021 Budget'!G55</f>
        <v>0</v>
      </c>
    </row>
    <row r="57" spans="1:7" x14ac:dyDescent="0.35">
      <c r="A57" s="66">
        <v>4350171</v>
      </c>
      <c r="B57" s="66">
        <v>100</v>
      </c>
      <c r="C57" s="66">
        <v>510</v>
      </c>
      <c r="D57" s="67" t="s">
        <v>174</v>
      </c>
      <c r="E57" s="60" t="s">
        <v>217</v>
      </c>
      <c r="F57" s="80">
        <v>0</v>
      </c>
    </row>
    <row r="58" spans="1:7" x14ac:dyDescent="0.35">
      <c r="A58" s="66">
        <v>4350181</v>
      </c>
      <c r="B58" s="66">
        <v>100</v>
      </c>
      <c r="C58" s="66">
        <v>510</v>
      </c>
      <c r="D58" s="67" t="s">
        <v>174</v>
      </c>
      <c r="E58" s="60" t="s">
        <v>218</v>
      </c>
      <c r="F58" s="80">
        <v>0</v>
      </c>
    </row>
    <row r="59" spans="1:7" x14ac:dyDescent="0.35">
      <c r="A59" s="60"/>
      <c r="B59" s="66"/>
      <c r="C59" s="66"/>
      <c r="D59" s="66"/>
      <c r="E59" s="59" t="s">
        <v>219</v>
      </c>
      <c r="F59" s="80">
        <f>SUM(F49:F58)</f>
        <v>690</v>
      </c>
    </row>
    <row r="60" spans="1:7" x14ac:dyDescent="0.35">
      <c r="A60" s="60"/>
      <c r="B60" s="66"/>
      <c r="C60" s="66"/>
      <c r="D60" s="66"/>
      <c r="E60" s="60"/>
      <c r="F60" s="80"/>
    </row>
    <row r="61" spans="1:7" x14ac:dyDescent="0.35">
      <c r="A61" s="59" t="s">
        <v>220</v>
      </c>
      <c r="B61" s="66"/>
      <c r="C61" s="66"/>
      <c r="D61" s="66"/>
      <c r="E61" s="60"/>
      <c r="F61" s="80"/>
    </row>
    <row r="62" spans="1:7" x14ac:dyDescent="0.35">
      <c r="A62" s="66">
        <v>4410024</v>
      </c>
      <c r="B62" s="66">
        <v>100</v>
      </c>
      <c r="C62" s="66">
        <v>510</v>
      </c>
      <c r="D62" s="67" t="s">
        <v>174</v>
      </c>
      <c r="E62" s="60" t="s">
        <v>221</v>
      </c>
      <c r="F62" s="80">
        <f>+'2021 Budget'!G47</f>
        <v>221448</v>
      </c>
    </row>
    <row r="63" spans="1:7" x14ac:dyDescent="0.35">
      <c r="A63" s="66">
        <v>4410029</v>
      </c>
      <c r="B63" s="66">
        <v>100</v>
      </c>
      <c r="C63" s="66">
        <v>510</v>
      </c>
      <c r="D63" s="67" t="s">
        <v>174</v>
      </c>
      <c r="E63" s="60" t="s">
        <v>222</v>
      </c>
      <c r="F63" s="80">
        <v>0</v>
      </c>
    </row>
    <row r="64" spans="1:7" x14ac:dyDescent="0.35">
      <c r="A64" s="66">
        <v>4410043</v>
      </c>
      <c r="B64" s="66">
        <v>100</v>
      </c>
      <c r="C64" s="66">
        <v>510</v>
      </c>
      <c r="D64" s="67" t="s">
        <v>174</v>
      </c>
      <c r="E64" s="60" t="s">
        <v>223</v>
      </c>
      <c r="F64" s="80">
        <v>0</v>
      </c>
    </row>
    <row r="65" spans="1:6" x14ac:dyDescent="0.35">
      <c r="A65" s="66">
        <v>4410065</v>
      </c>
      <c r="B65" s="66">
        <v>100</v>
      </c>
      <c r="C65" s="66">
        <v>510</v>
      </c>
      <c r="D65" s="67" t="s">
        <v>174</v>
      </c>
      <c r="E65" s="60" t="s">
        <v>224</v>
      </c>
      <c r="F65" s="80">
        <f>+'2021 Budget'!G62</f>
        <v>600</v>
      </c>
    </row>
    <row r="66" spans="1:6" x14ac:dyDescent="0.35">
      <c r="A66" s="66">
        <v>4410124</v>
      </c>
      <c r="B66" s="66">
        <v>100</v>
      </c>
      <c r="C66" s="66">
        <v>510</v>
      </c>
      <c r="D66" s="67" t="s">
        <v>174</v>
      </c>
      <c r="E66" s="60" t="s">
        <v>225</v>
      </c>
      <c r="F66" s="80">
        <v>0</v>
      </c>
    </row>
    <row r="67" spans="1:6" x14ac:dyDescent="0.35">
      <c r="A67" s="66">
        <v>4410129</v>
      </c>
      <c r="B67" s="66">
        <v>100</v>
      </c>
      <c r="C67" s="66">
        <v>510</v>
      </c>
      <c r="D67" s="67" t="s">
        <v>174</v>
      </c>
      <c r="E67" s="60" t="s">
        <v>226</v>
      </c>
      <c r="F67" s="80">
        <v>0</v>
      </c>
    </row>
    <row r="68" spans="1:6" x14ac:dyDescent="0.35">
      <c r="A68" s="66">
        <v>4410165</v>
      </c>
      <c r="B68" s="66">
        <v>100</v>
      </c>
      <c r="C68" s="66">
        <v>510</v>
      </c>
      <c r="D68" s="67" t="s">
        <v>174</v>
      </c>
      <c r="E68" s="60" t="s">
        <v>227</v>
      </c>
      <c r="F68" s="80">
        <v>0</v>
      </c>
    </row>
    <row r="69" spans="1:6" x14ac:dyDescent="0.35">
      <c r="A69" s="66">
        <v>4420001</v>
      </c>
      <c r="B69" s="66">
        <v>100</v>
      </c>
      <c r="C69" s="66">
        <v>510</v>
      </c>
      <c r="D69" s="67" t="s">
        <v>174</v>
      </c>
      <c r="E69" s="60" t="s">
        <v>228</v>
      </c>
      <c r="F69" s="80">
        <f>+'2021 Budget'!G48+'2021 Budget'!G63+'2021 Budget'!G49+'2021 Budget'!G64</f>
        <v>3120</v>
      </c>
    </row>
    <row r="70" spans="1:6" x14ac:dyDescent="0.35">
      <c r="A70" s="66">
        <v>4420006</v>
      </c>
      <c r="B70" s="66">
        <v>100</v>
      </c>
      <c r="C70" s="66">
        <v>510</v>
      </c>
      <c r="D70" s="67" t="s">
        <v>174</v>
      </c>
      <c r="E70" s="60" t="s">
        <v>229</v>
      </c>
      <c r="F70" s="80">
        <v>0</v>
      </c>
    </row>
    <row r="71" spans="1:6" x14ac:dyDescent="0.35">
      <c r="A71" s="66">
        <v>4420007</v>
      </c>
      <c r="B71" s="66">
        <v>100</v>
      </c>
      <c r="C71" s="66">
        <v>510</v>
      </c>
      <c r="D71" s="67" t="s">
        <v>174</v>
      </c>
      <c r="E71" s="60" t="s">
        <v>230</v>
      </c>
      <c r="F71" s="80">
        <f>+'2021 Budget'!G76</f>
        <v>0</v>
      </c>
    </row>
    <row r="72" spans="1:6" x14ac:dyDescent="0.35">
      <c r="A72" s="66">
        <v>4420008</v>
      </c>
      <c r="B72" s="66">
        <v>100</v>
      </c>
      <c r="C72" s="66">
        <v>510</v>
      </c>
      <c r="D72" s="67" t="s">
        <v>174</v>
      </c>
      <c r="E72" s="60" t="s">
        <v>231</v>
      </c>
      <c r="F72" s="80">
        <v>0</v>
      </c>
    </row>
    <row r="73" spans="1:6" x14ac:dyDescent="0.35">
      <c r="A73" s="66">
        <v>4420009</v>
      </c>
      <c r="B73" s="66">
        <v>100</v>
      </c>
      <c r="C73" s="66">
        <v>510</v>
      </c>
      <c r="D73" s="67" t="s">
        <v>174</v>
      </c>
      <c r="E73" s="60" t="s">
        <v>232</v>
      </c>
      <c r="F73" s="80">
        <v>0</v>
      </c>
    </row>
    <row r="74" spans="1:6" x14ac:dyDescent="0.35">
      <c r="A74" s="66">
        <v>4420010</v>
      </c>
      <c r="B74" s="66">
        <v>100</v>
      </c>
      <c r="C74" s="66">
        <v>510</v>
      </c>
      <c r="D74" s="67" t="s">
        <v>174</v>
      </c>
      <c r="E74" s="60" t="s">
        <v>233</v>
      </c>
      <c r="F74" s="80">
        <f>+'2021 Budget'!G80</f>
        <v>600</v>
      </c>
    </row>
    <row r="75" spans="1:6" x14ac:dyDescent="0.35">
      <c r="A75" s="66">
        <v>4420011</v>
      </c>
      <c r="B75" s="66">
        <v>100</v>
      </c>
      <c r="C75" s="66">
        <v>510</v>
      </c>
      <c r="D75" s="67" t="s">
        <v>174</v>
      </c>
      <c r="E75" s="60" t="s">
        <v>234</v>
      </c>
      <c r="F75" s="80">
        <v>0</v>
      </c>
    </row>
    <row r="76" spans="1:6" x14ac:dyDescent="0.35">
      <c r="A76" s="66">
        <v>4420012</v>
      </c>
      <c r="B76" s="66">
        <v>100</v>
      </c>
      <c r="C76" s="66">
        <v>510</v>
      </c>
      <c r="D76" s="67" t="s">
        <v>174</v>
      </c>
      <c r="E76" s="60" t="s">
        <v>235</v>
      </c>
      <c r="F76" s="80">
        <f>+'2021 Budget'!G78</f>
        <v>1920</v>
      </c>
    </row>
    <row r="77" spans="1:6" x14ac:dyDescent="0.35">
      <c r="A77" s="66">
        <v>4420013</v>
      </c>
      <c r="B77" s="66">
        <v>100</v>
      </c>
      <c r="C77" s="66">
        <v>510</v>
      </c>
      <c r="D77" s="67" t="s">
        <v>174</v>
      </c>
      <c r="E77" s="60" t="s">
        <v>236</v>
      </c>
      <c r="F77" s="80">
        <f>+'2021 Budget'!G65</f>
        <v>0</v>
      </c>
    </row>
    <row r="78" spans="1:6" x14ac:dyDescent="0.35">
      <c r="A78" s="66">
        <v>4420014</v>
      </c>
      <c r="B78" s="66">
        <v>100</v>
      </c>
      <c r="C78" s="66">
        <v>510</v>
      </c>
      <c r="D78" s="67" t="s">
        <v>174</v>
      </c>
      <c r="E78" s="60" t="s">
        <v>237</v>
      </c>
      <c r="F78" s="80">
        <f>+'2021 Budget'!G74</f>
        <v>0</v>
      </c>
    </row>
    <row r="79" spans="1:6" x14ac:dyDescent="0.35">
      <c r="A79" s="66">
        <v>4430001</v>
      </c>
      <c r="B79" s="66">
        <v>100</v>
      </c>
      <c r="C79" s="66">
        <v>510</v>
      </c>
      <c r="D79" s="67" t="s">
        <v>174</v>
      </c>
      <c r="E79" s="60" t="s">
        <v>238</v>
      </c>
      <c r="F79" s="80">
        <f>+'2021 Budget'!G81</f>
        <v>0</v>
      </c>
    </row>
    <row r="80" spans="1:6" x14ac:dyDescent="0.35">
      <c r="A80" s="66">
        <v>4430002</v>
      </c>
      <c r="B80" s="66">
        <v>100</v>
      </c>
      <c r="C80" s="66">
        <v>510</v>
      </c>
      <c r="D80" s="67" t="s">
        <v>174</v>
      </c>
      <c r="E80" s="60" t="s">
        <v>239</v>
      </c>
      <c r="F80" s="80">
        <v>0</v>
      </c>
    </row>
    <row r="81" spans="1:7" x14ac:dyDescent="0.35">
      <c r="A81" s="66">
        <v>4430003</v>
      </c>
      <c r="B81" s="66">
        <v>100</v>
      </c>
      <c r="C81" s="66">
        <v>510</v>
      </c>
      <c r="D81" s="67" t="s">
        <v>174</v>
      </c>
      <c r="E81" s="60" t="s">
        <v>240</v>
      </c>
      <c r="F81" s="80">
        <f>+'2021 Budget'!G52</f>
        <v>0</v>
      </c>
    </row>
    <row r="82" spans="1:7" s="83" customFormat="1" x14ac:dyDescent="0.35">
      <c r="A82" s="66">
        <v>4430007</v>
      </c>
      <c r="B82" s="66">
        <v>100</v>
      </c>
      <c r="C82" s="66">
        <v>510</v>
      </c>
      <c r="D82" s="67" t="s">
        <v>174</v>
      </c>
      <c r="E82" s="60" t="s">
        <v>241</v>
      </c>
      <c r="F82" s="80">
        <v>0</v>
      </c>
      <c r="G82" s="78"/>
    </row>
    <row r="83" spans="1:7" x14ac:dyDescent="0.35">
      <c r="A83" s="66">
        <v>4430008</v>
      </c>
      <c r="B83" s="66">
        <v>100</v>
      </c>
      <c r="C83" s="66">
        <v>510</v>
      </c>
      <c r="D83" s="67" t="s">
        <v>174</v>
      </c>
      <c r="E83" s="60" t="s">
        <v>242</v>
      </c>
      <c r="F83" s="80">
        <f>+'2021 Budget'!G50</f>
        <v>0</v>
      </c>
    </row>
    <row r="84" spans="1:7" x14ac:dyDescent="0.35">
      <c r="A84" s="66">
        <v>4430009</v>
      </c>
      <c r="B84" s="66">
        <v>100</v>
      </c>
      <c r="C84" s="66">
        <v>510</v>
      </c>
      <c r="D84" s="67" t="s">
        <v>174</v>
      </c>
      <c r="E84" s="60" t="s">
        <v>243</v>
      </c>
      <c r="F84" s="80">
        <v>0</v>
      </c>
    </row>
    <row r="85" spans="1:7" x14ac:dyDescent="0.35">
      <c r="A85" s="66">
        <v>4430011</v>
      </c>
      <c r="B85" s="66">
        <v>100</v>
      </c>
      <c r="C85" s="66">
        <v>510</v>
      </c>
      <c r="D85" s="67" t="s">
        <v>174</v>
      </c>
      <c r="E85" s="60" t="s">
        <v>244</v>
      </c>
      <c r="F85" s="80">
        <f>+'2021 Budget'!G69+'2021 Budget'!G70</f>
        <v>0</v>
      </c>
    </row>
    <row r="86" spans="1:7" x14ac:dyDescent="0.35">
      <c r="A86" s="66">
        <v>4430012</v>
      </c>
      <c r="B86" s="66">
        <v>100</v>
      </c>
      <c r="C86" s="66">
        <v>510</v>
      </c>
      <c r="D86" s="67" t="s">
        <v>174</v>
      </c>
      <c r="E86" s="60" t="s">
        <v>245</v>
      </c>
      <c r="F86" s="80">
        <f>+'2021 Budget'!G73</f>
        <v>0</v>
      </c>
    </row>
    <row r="87" spans="1:7" x14ac:dyDescent="0.35">
      <c r="A87" s="66">
        <v>4430013</v>
      </c>
      <c r="B87" s="66">
        <v>100</v>
      </c>
      <c r="C87" s="66">
        <v>510</v>
      </c>
      <c r="D87" s="67" t="s">
        <v>174</v>
      </c>
      <c r="E87" s="60" t="s">
        <v>246</v>
      </c>
      <c r="F87" s="80">
        <f>+'2021 Budget'!G51</f>
        <v>0</v>
      </c>
    </row>
    <row r="88" spans="1:7" x14ac:dyDescent="0.35">
      <c r="A88" s="66">
        <v>4430014</v>
      </c>
      <c r="B88" s="66">
        <v>100</v>
      </c>
      <c r="C88" s="66">
        <v>510</v>
      </c>
      <c r="D88" s="67" t="s">
        <v>174</v>
      </c>
      <c r="E88" s="60" t="s">
        <v>247</v>
      </c>
      <c r="F88" s="80">
        <v>0</v>
      </c>
    </row>
    <row r="89" spans="1:7" x14ac:dyDescent="0.35">
      <c r="A89" s="66">
        <v>4430015</v>
      </c>
      <c r="B89" s="66">
        <v>100</v>
      </c>
      <c r="C89" s="66">
        <v>510</v>
      </c>
      <c r="D89" s="67" t="s">
        <v>174</v>
      </c>
      <c r="E89" s="60" t="s">
        <v>248</v>
      </c>
      <c r="F89" s="80">
        <v>0</v>
      </c>
    </row>
    <row r="90" spans="1:7" x14ac:dyDescent="0.35">
      <c r="A90" s="66">
        <v>4430016</v>
      </c>
      <c r="B90" s="66">
        <v>100</v>
      </c>
      <c r="C90" s="66">
        <v>510</v>
      </c>
      <c r="D90" s="67" t="s">
        <v>174</v>
      </c>
      <c r="E90" s="60" t="s">
        <v>249</v>
      </c>
      <c r="F90" s="80">
        <v>0</v>
      </c>
    </row>
    <row r="91" spans="1:7" x14ac:dyDescent="0.35">
      <c r="A91" s="66">
        <v>4430017</v>
      </c>
      <c r="B91" s="66">
        <v>100</v>
      </c>
      <c r="C91" s="66">
        <v>510</v>
      </c>
      <c r="D91" s="67" t="s">
        <v>174</v>
      </c>
      <c r="E91" s="60" t="s">
        <v>250</v>
      </c>
      <c r="F91" s="80">
        <f>+'2021 Budget'!G68</f>
        <v>0</v>
      </c>
    </row>
    <row r="92" spans="1:7" x14ac:dyDescent="0.35">
      <c r="A92" s="66">
        <v>4430018</v>
      </c>
      <c r="B92" s="66">
        <v>100</v>
      </c>
      <c r="C92" s="66">
        <v>510</v>
      </c>
      <c r="D92" s="67" t="s">
        <v>174</v>
      </c>
      <c r="E92" s="60" t="s">
        <v>251</v>
      </c>
      <c r="F92" s="80">
        <f>+'2021 Budget'!G79</f>
        <v>4500</v>
      </c>
    </row>
    <row r="93" spans="1:7" x14ac:dyDescent="0.35">
      <c r="A93" s="66">
        <v>4430019</v>
      </c>
      <c r="B93" s="66">
        <v>100</v>
      </c>
      <c r="C93" s="66">
        <v>510</v>
      </c>
      <c r="D93" s="67" t="s">
        <v>174</v>
      </c>
      <c r="E93" s="60" t="s">
        <v>252</v>
      </c>
      <c r="F93" s="80">
        <f>+'2021 Budget'!G71</f>
        <v>0</v>
      </c>
    </row>
    <row r="94" spans="1:7" x14ac:dyDescent="0.35">
      <c r="A94" s="66">
        <v>4430020</v>
      </c>
      <c r="B94" s="66">
        <v>100</v>
      </c>
      <c r="C94" s="66">
        <v>510</v>
      </c>
      <c r="D94" s="67" t="s">
        <v>174</v>
      </c>
      <c r="E94" s="60" t="s">
        <v>253</v>
      </c>
      <c r="F94" s="80">
        <v>0</v>
      </c>
    </row>
    <row r="95" spans="1:7" x14ac:dyDescent="0.35">
      <c r="A95" s="66">
        <v>4430021</v>
      </c>
      <c r="B95" s="66">
        <v>100</v>
      </c>
      <c r="C95" s="66">
        <v>510</v>
      </c>
      <c r="D95" s="67" t="s">
        <v>174</v>
      </c>
      <c r="E95" s="60" t="s">
        <v>254</v>
      </c>
      <c r="F95" s="80">
        <f>+'2021 Budget'!G77</f>
        <v>3000</v>
      </c>
    </row>
    <row r="96" spans="1:7" x14ac:dyDescent="0.35">
      <c r="A96" s="66">
        <v>4430022</v>
      </c>
      <c r="B96" s="66">
        <v>100</v>
      </c>
      <c r="C96" s="66">
        <v>510</v>
      </c>
      <c r="D96" s="67" t="s">
        <v>174</v>
      </c>
      <c r="E96" s="60" t="s">
        <v>255</v>
      </c>
      <c r="F96" s="80" t="e">
        <f>+'2021 Budget'!G53+'2021 Budget'!G56+'2021 Budget'!G57+'2021 Budget'!G66+'2021 Budget'!#REF!</f>
        <v>#REF!</v>
      </c>
    </row>
    <row r="97" spans="1:7" s="76" customFormat="1" x14ac:dyDescent="0.35">
      <c r="A97" s="66">
        <v>4430023</v>
      </c>
      <c r="B97" s="66">
        <v>100</v>
      </c>
      <c r="C97" s="66">
        <v>510</v>
      </c>
      <c r="D97" s="67" t="s">
        <v>174</v>
      </c>
      <c r="E97" s="60" t="s">
        <v>256</v>
      </c>
      <c r="F97" s="69">
        <f>+'2021 Budget'!G72+'2021 Budget'!G75</f>
        <v>7500</v>
      </c>
      <c r="G97" s="82"/>
    </row>
    <row r="98" spans="1:7" s="76" customFormat="1" x14ac:dyDescent="0.35">
      <c r="A98" s="66">
        <v>4430093</v>
      </c>
      <c r="B98" s="66">
        <v>100</v>
      </c>
      <c r="C98" s="66">
        <v>510</v>
      </c>
      <c r="D98" s="67" t="s">
        <v>174</v>
      </c>
      <c r="E98" s="60" t="s">
        <v>257</v>
      </c>
      <c r="F98" s="69">
        <f>+'2021 Budget'!G67</f>
        <v>0</v>
      </c>
      <c r="G98" s="82"/>
    </row>
    <row r="99" spans="1:7" s="76" customFormat="1" x14ac:dyDescent="0.35">
      <c r="A99" s="66">
        <v>4430103</v>
      </c>
      <c r="B99" s="66">
        <v>100</v>
      </c>
      <c r="C99" s="66">
        <v>510</v>
      </c>
      <c r="D99" s="67" t="s">
        <v>174</v>
      </c>
      <c r="E99" s="60" t="s">
        <v>258</v>
      </c>
      <c r="F99" s="69">
        <f>+'2021 Budget'!G54</f>
        <v>0</v>
      </c>
      <c r="G99" s="82"/>
    </row>
    <row r="100" spans="1:7" x14ac:dyDescent="0.35">
      <c r="A100" s="66">
        <v>4430092</v>
      </c>
      <c r="B100" s="66">
        <v>100</v>
      </c>
      <c r="C100" s="66">
        <v>510</v>
      </c>
      <c r="D100" s="67" t="s">
        <v>174</v>
      </c>
      <c r="E100" s="60" t="s">
        <v>259</v>
      </c>
      <c r="F100" s="80"/>
    </row>
    <row r="101" spans="1:7" x14ac:dyDescent="0.35">
      <c r="A101" s="60"/>
      <c r="B101" s="66"/>
      <c r="C101" s="66"/>
      <c r="D101" s="66"/>
      <c r="E101" s="59" t="s">
        <v>260</v>
      </c>
      <c r="F101" s="80" t="e">
        <f>SUM(F62:F100)</f>
        <v>#REF!</v>
      </c>
    </row>
    <row r="102" spans="1:7" x14ac:dyDescent="0.35">
      <c r="A102" s="60"/>
      <c r="B102" s="66"/>
      <c r="C102" s="66"/>
      <c r="D102" s="66"/>
      <c r="E102" s="60"/>
      <c r="F102" s="80"/>
    </row>
    <row r="103" spans="1:7" x14ac:dyDescent="0.35">
      <c r="A103" s="59" t="s">
        <v>261</v>
      </c>
      <c r="B103" s="66"/>
      <c r="C103" s="66"/>
      <c r="D103" s="66"/>
      <c r="E103" s="60"/>
      <c r="F103" s="80"/>
    </row>
    <row r="104" spans="1:7" x14ac:dyDescent="0.35">
      <c r="A104" s="66">
        <v>4470001</v>
      </c>
      <c r="B104" s="66">
        <v>100</v>
      </c>
      <c r="C104" s="66">
        <v>510</v>
      </c>
      <c r="D104" s="67" t="s">
        <v>174</v>
      </c>
      <c r="E104" s="60" t="s">
        <v>262</v>
      </c>
      <c r="F104" s="80">
        <v>0</v>
      </c>
    </row>
    <row r="105" spans="1:7" x14ac:dyDescent="0.35">
      <c r="A105" s="66">
        <v>4480001</v>
      </c>
      <c r="B105" s="66">
        <v>100</v>
      </c>
      <c r="C105" s="66">
        <v>510</v>
      </c>
      <c r="D105" s="67" t="s">
        <v>174</v>
      </c>
      <c r="E105" s="60" t="s">
        <v>263</v>
      </c>
      <c r="F105" s="80" t="e">
        <f>+'2021 Budget'!#REF!</f>
        <v>#REF!</v>
      </c>
    </row>
    <row r="106" spans="1:7" x14ac:dyDescent="0.35">
      <c r="A106" s="60"/>
      <c r="B106" s="66"/>
      <c r="C106" s="66"/>
      <c r="D106" s="66"/>
      <c r="E106" s="59" t="s">
        <v>264</v>
      </c>
      <c r="F106" s="80" t="e">
        <f>SUM(F104:F105)</f>
        <v>#REF!</v>
      </c>
    </row>
    <row r="107" spans="1:7" x14ac:dyDescent="0.35">
      <c r="A107" s="60"/>
      <c r="B107" s="66"/>
      <c r="C107" s="66"/>
      <c r="D107" s="66"/>
      <c r="E107" s="60"/>
      <c r="F107" s="80"/>
    </row>
    <row r="108" spans="1:7" x14ac:dyDescent="0.35">
      <c r="A108" s="59" t="s">
        <v>265</v>
      </c>
      <c r="B108" s="66"/>
      <c r="C108" s="66"/>
      <c r="D108" s="66"/>
      <c r="E108" s="60"/>
      <c r="F108" s="80"/>
    </row>
    <row r="109" spans="1:7" x14ac:dyDescent="0.35">
      <c r="A109" s="66">
        <v>4510010</v>
      </c>
      <c r="B109" s="66">
        <v>100</v>
      </c>
      <c r="C109" s="66">
        <v>510</v>
      </c>
      <c r="D109" s="67" t="s">
        <v>174</v>
      </c>
      <c r="E109" s="60" t="s">
        <v>266</v>
      </c>
      <c r="F109" s="80">
        <v>0</v>
      </c>
    </row>
    <row r="110" spans="1:7" s="76" customFormat="1" x14ac:dyDescent="0.35">
      <c r="A110" s="66">
        <v>4520001</v>
      </c>
      <c r="B110" s="66">
        <v>100</v>
      </c>
      <c r="C110" s="66">
        <v>510</v>
      </c>
      <c r="D110" s="67" t="s">
        <v>174</v>
      </c>
      <c r="E110" s="60" t="s">
        <v>267</v>
      </c>
      <c r="F110" s="69">
        <f>+'2021 Budget'!G98</f>
        <v>0</v>
      </c>
      <c r="G110" s="82"/>
    </row>
    <row r="111" spans="1:7" s="76" customFormat="1" x14ac:dyDescent="0.35">
      <c r="A111" s="66">
        <v>4540001</v>
      </c>
      <c r="B111" s="66">
        <v>100</v>
      </c>
      <c r="C111" s="66">
        <v>510</v>
      </c>
      <c r="D111" s="67" t="s">
        <v>174</v>
      </c>
      <c r="E111" s="60" t="s">
        <v>268</v>
      </c>
      <c r="F111" s="69">
        <f>+'2021 Budget'!G102</f>
        <v>0</v>
      </c>
      <c r="G111" s="82"/>
    </row>
    <row r="112" spans="1:7" s="76" customFormat="1" x14ac:dyDescent="0.35">
      <c r="A112" s="66">
        <v>4540003</v>
      </c>
      <c r="B112" s="66">
        <v>100</v>
      </c>
      <c r="C112" s="66">
        <v>510</v>
      </c>
      <c r="D112" s="67" t="s">
        <v>174</v>
      </c>
      <c r="E112" s="60" t="s">
        <v>269</v>
      </c>
      <c r="F112" s="69">
        <v>0</v>
      </c>
      <c r="G112" s="82"/>
    </row>
    <row r="113" spans="1:7" s="76" customFormat="1" x14ac:dyDescent="0.35">
      <c r="A113" s="66">
        <v>4540004</v>
      </c>
      <c r="B113" s="66">
        <v>100</v>
      </c>
      <c r="C113" s="66">
        <v>510</v>
      </c>
      <c r="D113" s="67" t="s">
        <v>174</v>
      </c>
      <c r="E113" s="60" t="s">
        <v>270</v>
      </c>
      <c r="F113" s="69">
        <f>+'2021 Budget'!G99</f>
        <v>0</v>
      </c>
      <c r="G113" s="82"/>
    </row>
    <row r="114" spans="1:7" s="76" customFormat="1" x14ac:dyDescent="0.35">
      <c r="A114" s="66">
        <v>4540005</v>
      </c>
      <c r="B114" s="66">
        <v>100</v>
      </c>
      <c r="C114" s="66">
        <v>510</v>
      </c>
      <c r="D114" s="67" t="s">
        <v>174</v>
      </c>
      <c r="E114" s="60" t="s">
        <v>271</v>
      </c>
      <c r="F114" s="69">
        <v>0</v>
      </c>
      <c r="G114" s="82"/>
    </row>
    <row r="115" spans="1:7" s="76" customFormat="1" x14ac:dyDescent="0.35">
      <c r="A115" s="66">
        <v>4540021</v>
      </c>
      <c r="B115" s="66">
        <v>100</v>
      </c>
      <c r="C115" s="66">
        <v>510</v>
      </c>
      <c r="D115" s="67" t="s">
        <v>174</v>
      </c>
      <c r="E115" s="60" t="s">
        <v>272</v>
      </c>
      <c r="F115" s="69">
        <v>0</v>
      </c>
      <c r="G115" s="82"/>
    </row>
    <row r="116" spans="1:7" s="76" customFormat="1" x14ac:dyDescent="0.35">
      <c r="A116" s="66">
        <v>4540024</v>
      </c>
      <c r="B116" s="66">
        <v>100</v>
      </c>
      <c r="C116" s="66">
        <v>510</v>
      </c>
      <c r="D116" s="67" t="s">
        <v>174</v>
      </c>
      <c r="E116" s="60" t="s">
        <v>273</v>
      </c>
      <c r="F116" s="69">
        <v>0</v>
      </c>
      <c r="G116" s="82"/>
    </row>
    <row r="117" spans="1:7" s="76" customFormat="1" x14ac:dyDescent="0.35">
      <c r="A117" s="66">
        <v>4540043</v>
      </c>
      <c r="B117" s="66">
        <v>100</v>
      </c>
      <c r="C117" s="66">
        <v>510</v>
      </c>
      <c r="D117" s="67" t="s">
        <v>174</v>
      </c>
      <c r="E117" s="60" t="s">
        <v>274</v>
      </c>
      <c r="F117" s="69">
        <v>0</v>
      </c>
      <c r="G117" s="82"/>
    </row>
    <row r="118" spans="1:7" s="76" customFormat="1" x14ac:dyDescent="0.35">
      <c r="A118" s="66">
        <v>4540065</v>
      </c>
      <c r="B118" s="66">
        <v>100</v>
      </c>
      <c r="C118" s="66">
        <v>510</v>
      </c>
      <c r="D118" s="67" t="s">
        <v>174</v>
      </c>
      <c r="E118" s="60" t="s">
        <v>275</v>
      </c>
      <c r="F118" s="69">
        <f>+'2021 Budget'!G106</f>
        <v>0</v>
      </c>
      <c r="G118" s="82"/>
    </row>
    <row r="119" spans="1:7" s="76" customFormat="1" x14ac:dyDescent="0.35">
      <c r="A119" s="66">
        <v>4540101</v>
      </c>
      <c r="B119" s="66">
        <v>100</v>
      </c>
      <c r="C119" s="66">
        <v>510</v>
      </c>
      <c r="D119" s="67" t="s">
        <v>174</v>
      </c>
      <c r="E119" s="60" t="s">
        <v>276</v>
      </c>
      <c r="F119" s="69">
        <f>+'2021 Budget'!G101+'2021 Budget'!G103</f>
        <v>12982.8</v>
      </c>
      <c r="G119" s="82"/>
    </row>
    <row r="120" spans="1:7" s="76" customFormat="1" x14ac:dyDescent="0.35">
      <c r="A120" s="66">
        <v>4540102</v>
      </c>
      <c r="B120" s="66">
        <v>100</v>
      </c>
      <c r="C120" s="66">
        <v>510</v>
      </c>
      <c r="D120" s="67" t="s">
        <v>174</v>
      </c>
      <c r="E120" s="60" t="s">
        <v>277</v>
      </c>
      <c r="F120" s="69">
        <v>0</v>
      </c>
      <c r="G120" s="82"/>
    </row>
    <row r="121" spans="1:7" s="76" customFormat="1" x14ac:dyDescent="0.35">
      <c r="A121" s="66">
        <v>4510015</v>
      </c>
      <c r="B121" s="66">
        <v>100</v>
      </c>
      <c r="C121" s="66">
        <v>510</v>
      </c>
      <c r="D121" s="67" t="s">
        <v>174</v>
      </c>
      <c r="E121" s="60" t="s">
        <v>278</v>
      </c>
      <c r="F121" s="69">
        <f>+'2021 Budget'!G100</f>
        <v>2160</v>
      </c>
      <c r="G121" s="82"/>
    </row>
    <row r="122" spans="1:7" s="76" customFormat="1" x14ac:dyDescent="0.35">
      <c r="A122" s="66">
        <v>4580001</v>
      </c>
      <c r="B122" s="66">
        <v>100</v>
      </c>
      <c r="C122" s="66">
        <v>510</v>
      </c>
      <c r="D122" s="67" t="s">
        <v>174</v>
      </c>
      <c r="E122" s="60" t="s">
        <v>279</v>
      </c>
      <c r="F122" s="69">
        <f>+'2021 Budget'!G104</f>
        <v>0</v>
      </c>
      <c r="G122" s="82"/>
    </row>
    <row r="123" spans="1:7" s="76" customFormat="1" x14ac:dyDescent="0.35">
      <c r="A123" s="66">
        <v>4580002</v>
      </c>
      <c r="B123" s="66">
        <v>100</v>
      </c>
      <c r="C123" s="66">
        <v>510</v>
      </c>
      <c r="D123" s="67" t="s">
        <v>174</v>
      </c>
      <c r="E123" s="60" t="s">
        <v>280</v>
      </c>
      <c r="F123" s="69">
        <f>+'2021 Budget'!G105</f>
        <v>4284</v>
      </c>
      <c r="G123" s="82"/>
    </row>
    <row r="124" spans="1:7" x14ac:dyDescent="0.35">
      <c r="A124" s="66">
        <v>4570001</v>
      </c>
      <c r="B124" s="66">
        <v>100</v>
      </c>
      <c r="C124" s="66">
        <v>510</v>
      </c>
      <c r="D124" s="67" t="s">
        <v>174</v>
      </c>
      <c r="E124" s="60" t="s">
        <v>281</v>
      </c>
      <c r="F124" s="80">
        <f>+'2021 Budget'!G31</f>
        <v>0</v>
      </c>
    </row>
    <row r="125" spans="1:7" x14ac:dyDescent="0.35">
      <c r="A125" s="60"/>
      <c r="B125" s="66"/>
      <c r="C125" s="66"/>
      <c r="D125" s="66"/>
      <c r="E125" s="59" t="s">
        <v>282</v>
      </c>
      <c r="F125" s="80">
        <f>SUM(F109:F124)</f>
        <v>19426.8</v>
      </c>
    </row>
    <row r="126" spans="1:7" x14ac:dyDescent="0.35">
      <c r="A126" s="60"/>
      <c r="B126" s="66"/>
      <c r="C126" s="66"/>
      <c r="D126" s="66"/>
      <c r="E126" s="59"/>
      <c r="F126" s="80"/>
    </row>
    <row r="127" spans="1:7" x14ac:dyDescent="0.35">
      <c r="A127" s="59" t="s">
        <v>283</v>
      </c>
      <c r="B127" s="66"/>
      <c r="C127" s="66"/>
      <c r="D127" s="66"/>
      <c r="E127" s="60"/>
      <c r="F127" s="80"/>
    </row>
    <row r="128" spans="1:7" x14ac:dyDescent="0.35">
      <c r="A128" s="66">
        <v>4610030</v>
      </c>
      <c r="B128" s="66">
        <v>100</v>
      </c>
      <c r="C128" s="66">
        <v>510</v>
      </c>
      <c r="D128" s="67" t="s">
        <v>174</v>
      </c>
      <c r="E128" s="60" t="s">
        <v>284</v>
      </c>
      <c r="F128" s="80">
        <v>0</v>
      </c>
    </row>
    <row r="129" spans="1:6" x14ac:dyDescent="0.35">
      <c r="A129" s="60"/>
      <c r="B129" s="66"/>
      <c r="C129" s="66"/>
      <c r="D129" s="66"/>
      <c r="E129" s="59" t="s">
        <v>285</v>
      </c>
      <c r="F129" s="80"/>
    </row>
    <row r="130" spans="1:6" x14ac:dyDescent="0.35">
      <c r="A130" s="60"/>
      <c r="B130" s="66"/>
      <c r="C130" s="66"/>
      <c r="D130" s="66"/>
      <c r="E130" s="60"/>
      <c r="F130" s="80"/>
    </row>
    <row r="131" spans="1:6" x14ac:dyDescent="0.35">
      <c r="A131" s="59" t="s">
        <v>286</v>
      </c>
      <c r="B131" s="66"/>
      <c r="C131" s="66"/>
      <c r="D131" s="66"/>
      <c r="E131" s="60"/>
      <c r="F131" s="80" t="e">
        <f>+F39+F46+F59+F101+F106+F125</f>
        <v>#REF!</v>
      </c>
    </row>
    <row r="132" spans="1:6" x14ac:dyDescent="0.35">
      <c r="A132" s="70"/>
      <c r="B132" s="71"/>
      <c r="C132" s="71"/>
      <c r="D132" s="71"/>
      <c r="E132" s="72"/>
    </row>
    <row r="133" spans="1:6" x14ac:dyDescent="0.35">
      <c r="A133" s="72" t="s">
        <v>287</v>
      </c>
      <c r="B133" s="71"/>
      <c r="C133" s="71"/>
      <c r="D133" s="71"/>
      <c r="E133" s="72"/>
      <c r="F133" s="84" t="e">
        <f>+F12-F131</f>
        <v>#REF!</v>
      </c>
    </row>
    <row r="134" spans="1:6" x14ac:dyDescent="0.35">
      <c r="A134" s="72"/>
      <c r="B134" s="71"/>
      <c r="C134" s="71"/>
      <c r="D134" s="71"/>
      <c r="E134" s="72"/>
    </row>
    <row r="135" spans="1:6" x14ac:dyDescent="0.35">
      <c r="B135" s="71"/>
      <c r="C135" s="71"/>
      <c r="D135" s="71"/>
      <c r="E135" s="72" t="s">
        <v>71</v>
      </c>
      <c r="F135" s="85">
        <f>+'2021 Budget'!G128</f>
        <v>0</v>
      </c>
    </row>
    <row r="136" spans="1:6" x14ac:dyDescent="0.35">
      <c r="A136" s="72"/>
      <c r="B136" s="71"/>
      <c r="C136" s="71"/>
      <c r="D136" s="71"/>
      <c r="E136" s="72" t="s">
        <v>288</v>
      </c>
      <c r="F136" s="85">
        <f>+'2021 Budget'!G119</f>
        <v>4800</v>
      </c>
    </row>
    <row r="137" spans="1:6" x14ac:dyDescent="0.35">
      <c r="A137" s="73"/>
      <c r="B137" s="71"/>
      <c r="C137" s="71"/>
      <c r="D137" s="71"/>
      <c r="E137" s="72"/>
    </row>
    <row r="138" spans="1:6" x14ac:dyDescent="0.35">
      <c r="A138" s="72"/>
      <c r="B138" s="71"/>
      <c r="C138" s="71"/>
      <c r="D138" s="71"/>
      <c r="E138" s="72"/>
    </row>
    <row r="139" spans="1:6" x14ac:dyDescent="0.35">
      <c r="A139" s="72"/>
      <c r="B139" s="71"/>
      <c r="C139" s="71"/>
      <c r="D139" s="71"/>
      <c r="E139" s="72"/>
    </row>
    <row r="140" spans="1:6" x14ac:dyDescent="0.35">
      <c r="A140" s="72"/>
      <c r="B140" s="71"/>
      <c r="C140" s="74"/>
      <c r="D140" s="74"/>
      <c r="E140" s="72"/>
    </row>
    <row r="141" spans="1:6" x14ac:dyDescent="0.35">
      <c r="A141" s="72"/>
      <c r="B141" s="71"/>
      <c r="C141" s="71"/>
      <c r="D141" s="71"/>
      <c r="E141" s="72"/>
    </row>
    <row r="142" spans="1:6" x14ac:dyDescent="0.35">
      <c r="A142" s="86"/>
      <c r="B142" s="71"/>
      <c r="C142" s="71"/>
      <c r="D142" s="71"/>
      <c r="E142" s="72"/>
    </row>
    <row r="143" spans="1:6" x14ac:dyDescent="0.35">
      <c r="B143" s="75"/>
      <c r="C143" s="75"/>
      <c r="D143" s="75"/>
    </row>
    <row r="144" spans="1:6" x14ac:dyDescent="0.35">
      <c r="B144" s="75"/>
      <c r="C144" s="75"/>
      <c r="D144" s="75"/>
    </row>
    <row r="145" spans="2:4" x14ac:dyDescent="0.35">
      <c r="B145" s="75"/>
      <c r="C145" s="75"/>
      <c r="D145" s="75"/>
    </row>
    <row r="146" spans="2:4" x14ac:dyDescent="0.35">
      <c r="B146" s="75"/>
      <c r="C146" s="75"/>
      <c r="D146" s="75"/>
    </row>
    <row r="147" spans="2:4" x14ac:dyDescent="0.35">
      <c r="B147" s="75"/>
      <c r="C147" s="75"/>
      <c r="D147" s="75"/>
    </row>
    <row r="148" spans="2:4" x14ac:dyDescent="0.35">
      <c r="B148" s="75"/>
      <c r="C148" s="75"/>
      <c r="D148" s="75"/>
    </row>
    <row r="149" spans="2:4" x14ac:dyDescent="0.35">
      <c r="B149" s="75"/>
      <c r="C149" s="75"/>
      <c r="D149" s="75"/>
    </row>
    <row r="150" spans="2:4" x14ac:dyDescent="0.35">
      <c r="B150" s="75"/>
      <c r="C150" s="75"/>
      <c r="D150" s="75"/>
    </row>
    <row r="151" spans="2:4" x14ac:dyDescent="0.35">
      <c r="B151" s="75"/>
      <c r="C151" s="75"/>
      <c r="D151" s="75"/>
    </row>
    <row r="152" spans="2:4" x14ac:dyDescent="0.35">
      <c r="B152" s="75"/>
      <c r="C152" s="75"/>
      <c r="D152" s="75"/>
    </row>
    <row r="153" spans="2:4" x14ac:dyDescent="0.35">
      <c r="B153" s="75"/>
      <c r="C153" s="75"/>
      <c r="D153" s="75"/>
    </row>
    <row r="154" spans="2:4" x14ac:dyDescent="0.35">
      <c r="B154" s="75"/>
      <c r="C154" s="75"/>
      <c r="D154" s="75"/>
    </row>
    <row r="155" spans="2:4" x14ac:dyDescent="0.35">
      <c r="B155" s="75"/>
      <c r="C155" s="75"/>
      <c r="D155" s="75"/>
    </row>
    <row r="156" spans="2:4" x14ac:dyDescent="0.35">
      <c r="B156" s="75"/>
      <c r="C156" s="75"/>
      <c r="D156" s="75"/>
    </row>
    <row r="157" spans="2:4" x14ac:dyDescent="0.35">
      <c r="B157" s="75"/>
      <c r="C157" s="75"/>
      <c r="D157" s="75"/>
    </row>
    <row r="158" spans="2:4" x14ac:dyDescent="0.35">
      <c r="B158" s="75"/>
      <c r="C158" s="75"/>
      <c r="D158" s="75"/>
    </row>
    <row r="159" spans="2:4" x14ac:dyDescent="0.35">
      <c r="B159" s="75"/>
      <c r="C159" s="75"/>
      <c r="D159" s="75"/>
    </row>
    <row r="160" spans="2:4" x14ac:dyDescent="0.35">
      <c r="B160" s="75"/>
      <c r="C160" s="75"/>
      <c r="D160" s="75"/>
    </row>
    <row r="161" spans="2:4" x14ac:dyDescent="0.35">
      <c r="B161" s="75"/>
      <c r="C161" s="75"/>
      <c r="D161" s="75"/>
    </row>
    <row r="162" spans="2:4" x14ac:dyDescent="0.35">
      <c r="B162" s="75"/>
      <c r="C162" s="75"/>
      <c r="D162" s="75"/>
    </row>
    <row r="163" spans="2:4" x14ac:dyDescent="0.35">
      <c r="B163" s="75"/>
      <c r="C163" s="75"/>
      <c r="D163" s="75"/>
    </row>
    <row r="164" spans="2:4" x14ac:dyDescent="0.35">
      <c r="B164" s="75"/>
      <c r="C164" s="75"/>
      <c r="D164" s="75"/>
    </row>
    <row r="165" spans="2:4" x14ac:dyDescent="0.35">
      <c r="B165" s="75"/>
      <c r="C165" s="75"/>
      <c r="D165" s="75"/>
    </row>
    <row r="166" spans="2:4" x14ac:dyDescent="0.35">
      <c r="B166" s="75"/>
      <c r="C166" s="75"/>
      <c r="D166" s="75"/>
    </row>
    <row r="167" spans="2:4" x14ac:dyDescent="0.35">
      <c r="B167" s="75"/>
      <c r="C167" s="75"/>
      <c r="D167" s="75"/>
    </row>
    <row r="168" spans="2:4" x14ac:dyDescent="0.35">
      <c r="B168" s="75"/>
      <c r="C168" s="75"/>
      <c r="D168" s="75"/>
    </row>
    <row r="169" spans="2:4" x14ac:dyDescent="0.35">
      <c r="B169" s="75"/>
      <c r="C169" s="75"/>
      <c r="D169" s="75"/>
    </row>
    <row r="170" spans="2:4" x14ac:dyDescent="0.35">
      <c r="B170" s="75"/>
      <c r="C170" s="75"/>
      <c r="D170" s="75"/>
    </row>
    <row r="171" spans="2:4" x14ac:dyDescent="0.35">
      <c r="B171" s="75"/>
      <c r="C171" s="75"/>
      <c r="D171" s="75"/>
    </row>
    <row r="172" spans="2:4" x14ac:dyDescent="0.35">
      <c r="B172" s="75"/>
      <c r="C172" s="75"/>
      <c r="D172" s="75"/>
    </row>
    <row r="173" spans="2:4" x14ac:dyDescent="0.35">
      <c r="B173" s="75"/>
      <c r="C173" s="75"/>
      <c r="D173" s="75"/>
    </row>
    <row r="174" spans="2:4" x14ac:dyDescent="0.35">
      <c r="B174" s="75"/>
      <c r="C174" s="75"/>
      <c r="D174" s="75"/>
    </row>
    <row r="175" spans="2:4" x14ac:dyDescent="0.35">
      <c r="B175" s="75"/>
      <c r="C175" s="75"/>
      <c r="D175" s="75"/>
    </row>
    <row r="176" spans="2:4" x14ac:dyDescent="0.35">
      <c r="B176" s="75"/>
      <c r="C176" s="75"/>
      <c r="D176" s="75"/>
    </row>
    <row r="177" spans="2:4" x14ac:dyDescent="0.35">
      <c r="B177" s="75"/>
      <c r="C177" s="75"/>
      <c r="D177" s="75"/>
    </row>
    <row r="178" spans="2:4" x14ac:dyDescent="0.35">
      <c r="B178" s="75"/>
      <c r="C178" s="75"/>
      <c r="D178" s="75"/>
    </row>
    <row r="179" spans="2:4" x14ac:dyDescent="0.35">
      <c r="B179" s="75"/>
      <c r="C179" s="75"/>
      <c r="D179" s="75"/>
    </row>
    <row r="180" spans="2:4" x14ac:dyDescent="0.35">
      <c r="B180" s="75"/>
      <c r="C180" s="75"/>
      <c r="D180" s="75"/>
    </row>
    <row r="181" spans="2:4" x14ac:dyDescent="0.35">
      <c r="B181" s="75"/>
      <c r="C181" s="75"/>
      <c r="D181" s="75"/>
    </row>
    <row r="182" spans="2:4" x14ac:dyDescent="0.35">
      <c r="B182" s="75"/>
      <c r="C182" s="75"/>
      <c r="D182" s="75"/>
    </row>
    <row r="183" spans="2:4" x14ac:dyDescent="0.35">
      <c r="B183" s="75"/>
      <c r="C183" s="75"/>
      <c r="D183" s="75"/>
    </row>
    <row r="184" spans="2:4" x14ac:dyDescent="0.35">
      <c r="B184" s="75"/>
      <c r="C184" s="75"/>
      <c r="D184" s="75"/>
    </row>
    <row r="185" spans="2:4" x14ac:dyDescent="0.35">
      <c r="B185" s="75"/>
      <c r="C185" s="75"/>
      <c r="D185" s="75"/>
    </row>
    <row r="186" spans="2:4" x14ac:dyDescent="0.35">
      <c r="B186" s="75"/>
      <c r="C186" s="75"/>
      <c r="D186" s="75"/>
    </row>
    <row r="187" spans="2:4" x14ac:dyDescent="0.35">
      <c r="B187" s="75"/>
      <c r="C187" s="75"/>
      <c r="D187" s="75"/>
    </row>
    <row r="188" spans="2:4" x14ac:dyDescent="0.35">
      <c r="B188" s="75"/>
      <c r="C188" s="75"/>
      <c r="D188" s="75"/>
    </row>
    <row r="189" spans="2:4" x14ac:dyDescent="0.35">
      <c r="B189" s="75"/>
      <c r="C189" s="75"/>
      <c r="D189" s="75"/>
    </row>
    <row r="190" spans="2:4" x14ac:dyDescent="0.35">
      <c r="B190" s="75"/>
      <c r="C190" s="75"/>
      <c r="D190" s="75"/>
    </row>
  </sheetData>
  <sheetProtection password="CEAB" sheet="1"/>
  <pageMargins left="0.7" right="0.7" top="0.75" bottom="0.75" header="0.3" footer="0.3"/>
  <pageSetup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92D050"/>
    <pageSetUpPr fitToPage="1"/>
  </sheetPr>
  <dimension ref="A1:J453"/>
  <sheetViews>
    <sheetView topLeftCell="B1" workbookViewId="0">
      <pane ySplit="2" topLeftCell="A432" activePane="bottomLeft" state="frozen"/>
      <selection pane="bottomLeft" activeCell="F448" sqref="F448"/>
    </sheetView>
  </sheetViews>
  <sheetFormatPr defaultColWidth="8.85546875" defaultRowHeight="15.75" x14ac:dyDescent="0.25"/>
  <cols>
    <col min="1" max="1" width="30.85546875" style="2" bestFit="1" customWidth="1"/>
    <col min="2" max="2" width="43.28515625" style="2" bestFit="1" customWidth="1"/>
    <col min="3" max="3" width="38.42578125" style="756" customWidth="1"/>
    <col min="4" max="4" width="34.42578125" style="756" bestFit="1" customWidth="1"/>
    <col min="5" max="5" width="12.7109375" style="756" customWidth="1"/>
    <col min="6" max="6" width="6.42578125" style="756" customWidth="1"/>
    <col min="7" max="7" width="8.85546875" style="756"/>
    <col min="8" max="8" width="11" style="2" bestFit="1" customWidth="1"/>
    <col min="9" max="9" width="10.140625" style="756" customWidth="1"/>
    <col min="10" max="16384" width="8.85546875" style="2"/>
  </cols>
  <sheetData>
    <row r="1" spans="1:9" ht="32.25" thickTop="1" x14ac:dyDescent="0.25">
      <c r="A1" s="11" t="s">
        <v>298</v>
      </c>
      <c r="B1" s="11" t="s">
        <v>168</v>
      </c>
      <c r="C1" s="688" t="s">
        <v>116</v>
      </c>
      <c r="D1" s="689" t="s">
        <v>117</v>
      </c>
      <c r="E1" s="689" t="s">
        <v>118</v>
      </c>
      <c r="F1" s="690" t="s">
        <v>119</v>
      </c>
      <c r="G1" s="689" t="s">
        <v>120</v>
      </c>
      <c r="H1" s="12" t="s">
        <v>121</v>
      </c>
      <c r="I1" s="757" t="s">
        <v>122</v>
      </c>
    </row>
    <row r="2" spans="1:9" x14ac:dyDescent="0.25">
      <c r="A2" s="3" t="s">
        <v>177</v>
      </c>
      <c r="B2" s="800" t="s">
        <v>622</v>
      </c>
      <c r="C2" s="800" t="s">
        <v>626</v>
      </c>
      <c r="D2" s="800" t="s">
        <v>623</v>
      </c>
      <c r="E2" s="800" t="s">
        <v>624</v>
      </c>
      <c r="F2" s="800"/>
      <c r="G2" s="800"/>
      <c r="H2" s="800"/>
      <c r="I2" s="800" t="s">
        <v>625</v>
      </c>
    </row>
    <row r="3" spans="1:9" x14ac:dyDescent="0.25">
      <c r="B3" s="89" t="s">
        <v>65</v>
      </c>
      <c r="C3" s="693"/>
      <c r="D3" s="694"/>
      <c r="E3" s="695"/>
      <c r="F3" s="696"/>
      <c r="G3" s="697"/>
      <c r="H3" s="15">
        <f>+G3*F3</f>
        <v>0</v>
      </c>
      <c r="I3" s="759"/>
    </row>
    <row r="4" spans="1:9" x14ac:dyDescent="0.25">
      <c r="B4" s="14"/>
      <c r="C4" s="693"/>
      <c r="D4" s="694"/>
      <c r="E4" s="695"/>
      <c r="F4" s="696"/>
      <c r="G4" s="697"/>
      <c r="H4" s="15">
        <f>+G4*F4</f>
        <v>0</v>
      </c>
      <c r="I4" s="759"/>
    </row>
    <row r="5" spans="1:9" x14ac:dyDescent="0.25">
      <c r="B5" s="14"/>
      <c r="C5" s="693"/>
      <c r="D5" s="694"/>
      <c r="E5" s="695"/>
      <c r="F5" s="696"/>
      <c r="G5" s="697"/>
      <c r="H5" s="15">
        <f>+G5*F5</f>
        <v>0</v>
      </c>
      <c r="I5" s="759"/>
    </row>
    <row r="6" spans="1:9" x14ac:dyDescent="0.25">
      <c r="B6" s="90" t="s">
        <v>299</v>
      </c>
      <c r="C6" s="693"/>
      <c r="D6" s="694"/>
      <c r="E6" s="695"/>
      <c r="F6" s="696"/>
      <c r="G6" s="697"/>
      <c r="H6" s="15">
        <f>SUM(H3:H5)</f>
        <v>0</v>
      </c>
      <c r="I6" s="759"/>
    </row>
    <row r="7" spans="1:9" x14ac:dyDescent="0.25">
      <c r="B7" s="91"/>
      <c r="C7" s="698"/>
      <c r="D7" s="698"/>
      <c r="E7" s="698"/>
      <c r="F7" s="698"/>
      <c r="G7" s="698"/>
      <c r="H7" s="92"/>
      <c r="I7" s="698"/>
    </row>
    <row r="8" spans="1:9" x14ac:dyDescent="0.25">
      <c r="B8" s="89" t="s">
        <v>66</v>
      </c>
      <c r="C8" s="801"/>
      <c r="D8" s="694"/>
      <c r="E8" s="695"/>
      <c r="F8" s="696">
        <v>12</v>
      </c>
      <c r="G8" s="697">
        <v>10</v>
      </c>
      <c r="H8" s="15">
        <f>+G8*F8</f>
        <v>120</v>
      </c>
      <c r="I8" s="759"/>
    </row>
    <row r="9" spans="1:9" x14ac:dyDescent="0.25">
      <c r="B9" s="14"/>
      <c r="C9" s="801"/>
      <c r="D9" s="694"/>
      <c r="E9" s="695"/>
      <c r="F9" s="696"/>
      <c r="G9" s="697"/>
      <c r="H9" s="15">
        <f>+G9*F9</f>
        <v>0</v>
      </c>
      <c r="I9" s="759"/>
    </row>
    <row r="10" spans="1:9" x14ac:dyDescent="0.25">
      <c r="B10" s="14"/>
      <c r="C10" s="693"/>
      <c r="D10" s="694"/>
      <c r="E10" s="695"/>
      <c r="F10" s="696"/>
      <c r="G10" s="697"/>
      <c r="H10" s="15">
        <f>+G10*F10</f>
        <v>0</v>
      </c>
      <c r="I10" s="759"/>
    </row>
    <row r="11" spans="1:9" x14ac:dyDescent="0.25">
      <c r="B11" s="90" t="s">
        <v>300</v>
      </c>
      <c r="C11" s="693"/>
      <c r="D11" s="694"/>
      <c r="E11" s="695"/>
      <c r="F11" s="696"/>
      <c r="G11" s="697"/>
      <c r="H11" s="15">
        <f>SUM(H8:H10)</f>
        <v>120</v>
      </c>
      <c r="I11" s="759"/>
    </row>
    <row r="12" spans="1:9" x14ac:dyDescent="0.25">
      <c r="B12" s="91"/>
      <c r="C12" s="698"/>
      <c r="D12" s="698"/>
      <c r="E12" s="698"/>
      <c r="F12" s="698"/>
      <c r="G12" s="698"/>
      <c r="H12" s="92"/>
      <c r="I12" s="698"/>
    </row>
    <row r="13" spans="1:9" x14ac:dyDescent="0.25">
      <c r="B13" s="89" t="s">
        <v>561</v>
      </c>
      <c r="C13" s="693" t="s">
        <v>666</v>
      </c>
      <c r="D13" s="694"/>
      <c r="E13" s="695" t="s">
        <v>346</v>
      </c>
      <c r="F13" s="696">
        <v>12</v>
      </c>
      <c r="G13" s="697">
        <v>3075</v>
      </c>
      <c r="H13" s="15">
        <f>+G13*F13</f>
        <v>36900</v>
      </c>
      <c r="I13" s="759"/>
    </row>
    <row r="14" spans="1:9" x14ac:dyDescent="0.25">
      <c r="B14" s="14"/>
      <c r="C14" s="693"/>
      <c r="D14" s="694"/>
      <c r="E14" s="695"/>
      <c r="F14" s="696"/>
      <c r="G14" s="697"/>
      <c r="H14" s="15">
        <f>+G14*F14</f>
        <v>0</v>
      </c>
      <c r="I14" s="759"/>
    </row>
    <row r="15" spans="1:9" x14ac:dyDescent="0.25">
      <c r="B15" s="14"/>
      <c r="C15" s="693"/>
      <c r="D15" s="694"/>
      <c r="E15" s="695"/>
      <c r="F15" s="696"/>
      <c r="G15" s="697"/>
      <c r="H15" s="15">
        <f>+G15*F15</f>
        <v>0</v>
      </c>
      <c r="I15" s="759"/>
    </row>
    <row r="16" spans="1:9" x14ac:dyDescent="0.25">
      <c r="B16" s="90" t="s">
        <v>301</v>
      </c>
      <c r="C16" s="693"/>
      <c r="D16" s="694"/>
      <c r="E16" s="695"/>
      <c r="F16" s="696"/>
      <c r="G16" s="697"/>
      <c r="H16" s="15">
        <f>SUM(H13:H15)</f>
        <v>36900</v>
      </c>
      <c r="I16" s="759"/>
    </row>
    <row r="17" spans="1:9" x14ac:dyDescent="0.25">
      <c r="B17" s="91"/>
      <c r="C17" s="698"/>
      <c r="D17" s="698"/>
      <c r="E17" s="698"/>
      <c r="F17" s="698"/>
      <c r="G17" s="698"/>
      <c r="H17" s="92"/>
      <c r="I17" s="698"/>
    </row>
    <row r="18" spans="1:9" x14ac:dyDescent="0.25">
      <c r="B18" s="89" t="s">
        <v>562</v>
      </c>
      <c r="C18" s="693"/>
      <c r="D18" s="694"/>
      <c r="E18" s="695"/>
      <c r="F18" s="696"/>
      <c r="G18" s="697"/>
      <c r="H18" s="15">
        <f>+G18*F18</f>
        <v>0</v>
      </c>
      <c r="I18" s="759"/>
    </row>
    <row r="19" spans="1:9" x14ac:dyDescent="0.25">
      <c r="B19" s="14"/>
      <c r="C19" s="693"/>
      <c r="D19" s="694"/>
      <c r="E19" s="695"/>
      <c r="F19" s="696"/>
      <c r="G19" s="699"/>
      <c r="H19" s="15">
        <f>+G19*F19</f>
        <v>0</v>
      </c>
      <c r="I19" s="759"/>
    </row>
    <row r="20" spans="1:9" x14ac:dyDescent="0.25">
      <c r="B20" s="14"/>
      <c r="C20" s="693"/>
      <c r="D20" s="694"/>
      <c r="E20" s="695"/>
      <c r="F20" s="696"/>
      <c r="G20" s="699"/>
      <c r="H20" s="15">
        <f>+G20*F20</f>
        <v>0</v>
      </c>
      <c r="I20" s="759"/>
    </row>
    <row r="21" spans="1:9" x14ac:dyDescent="0.25">
      <c r="B21" s="90" t="s">
        <v>563</v>
      </c>
      <c r="C21" s="693"/>
      <c r="D21" s="694"/>
      <c r="E21" s="695"/>
      <c r="F21" s="696"/>
      <c r="G21" s="699"/>
      <c r="H21" s="15">
        <f>SUM(H18:H20)</f>
        <v>0</v>
      </c>
      <c r="I21" s="759"/>
    </row>
    <row r="22" spans="1:9" x14ac:dyDescent="0.25">
      <c r="B22" s="91"/>
      <c r="C22" s="698"/>
      <c r="D22" s="698"/>
      <c r="E22" s="698"/>
      <c r="F22" s="698"/>
      <c r="G22" s="698"/>
      <c r="H22" s="92"/>
      <c r="I22" s="698"/>
    </row>
    <row r="23" spans="1:9" x14ac:dyDescent="0.25">
      <c r="B23" s="89" t="s">
        <v>115</v>
      </c>
      <c r="C23" s="693"/>
      <c r="D23" s="694"/>
      <c r="E23" s="695"/>
      <c r="F23" s="696"/>
      <c r="G23" s="699"/>
      <c r="H23" s="15">
        <f>+G23*F23</f>
        <v>0</v>
      </c>
      <c r="I23" s="759"/>
    </row>
    <row r="24" spans="1:9" x14ac:dyDescent="0.25">
      <c r="B24" s="14"/>
      <c r="C24" s="693"/>
      <c r="D24" s="694"/>
      <c r="E24" s="695"/>
      <c r="F24" s="696"/>
      <c r="G24" s="699"/>
      <c r="H24" s="15">
        <f>+G24*F24</f>
        <v>0</v>
      </c>
      <c r="I24" s="759"/>
    </row>
    <row r="25" spans="1:9" x14ac:dyDescent="0.25">
      <c r="B25" s="14"/>
      <c r="C25" s="693"/>
      <c r="D25" s="694"/>
      <c r="E25" s="695"/>
      <c r="F25" s="696"/>
      <c r="G25" s="699"/>
      <c r="H25" s="15">
        <f>+G25*F25</f>
        <v>0</v>
      </c>
      <c r="I25" s="759"/>
    </row>
    <row r="26" spans="1:9" x14ac:dyDescent="0.25">
      <c r="B26" s="90" t="s">
        <v>302</v>
      </c>
      <c r="C26" s="693"/>
      <c r="D26" s="694"/>
      <c r="E26" s="695"/>
      <c r="F26" s="696"/>
      <c r="G26" s="699"/>
      <c r="H26" s="15">
        <f>SUM(H23:H25)</f>
        <v>0</v>
      </c>
      <c r="I26" s="759"/>
    </row>
    <row r="27" spans="1:9" x14ac:dyDescent="0.25">
      <c r="B27" s="531"/>
      <c r="C27" s="698"/>
      <c r="D27" s="698"/>
      <c r="E27" s="698"/>
      <c r="F27" s="698"/>
      <c r="G27" s="698"/>
      <c r="H27" s="92"/>
      <c r="I27" s="698"/>
    </row>
    <row r="28" spans="1:9" x14ac:dyDescent="0.25">
      <c r="B28" s="532"/>
      <c r="C28" s="700"/>
      <c r="D28" s="700"/>
      <c r="E28" s="700"/>
      <c r="F28" s="700"/>
      <c r="G28" s="700"/>
      <c r="H28" s="19"/>
      <c r="I28" s="700"/>
    </row>
    <row r="29" spans="1:9" x14ac:dyDescent="0.25">
      <c r="B29" s="532"/>
      <c r="C29" s="700"/>
      <c r="D29" s="700"/>
      <c r="E29" s="700"/>
      <c r="F29" s="700"/>
      <c r="G29" s="700"/>
      <c r="H29" s="19"/>
      <c r="I29" s="700"/>
    </row>
    <row r="30" spans="1:9" x14ac:dyDescent="0.25">
      <c r="B30" s="532"/>
      <c r="C30" s="700"/>
      <c r="D30" s="700"/>
      <c r="E30" s="700"/>
      <c r="F30" s="700"/>
      <c r="G30" s="700"/>
      <c r="H30" s="19"/>
      <c r="I30" s="700"/>
    </row>
    <row r="31" spans="1:9" ht="16.5" thickBot="1" x14ac:dyDescent="0.3">
      <c r="B31" s="532"/>
      <c r="C31" s="700"/>
      <c r="D31" s="700"/>
      <c r="E31" s="700"/>
      <c r="F31" s="700"/>
      <c r="G31" s="700"/>
      <c r="H31" s="19"/>
      <c r="I31" s="700"/>
    </row>
    <row r="32" spans="1:9" ht="32.25" thickTop="1" x14ac:dyDescent="0.25">
      <c r="A32" s="11" t="s">
        <v>298</v>
      </c>
      <c r="B32" s="529" t="s">
        <v>168</v>
      </c>
      <c r="C32" s="701" t="s">
        <v>116</v>
      </c>
      <c r="D32" s="702" t="s">
        <v>117</v>
      </c>
      <c r="E32" s="702" t="s">
        <v>118</v>
      </c>
      <c r="F32" s="689" t="s">
        <v>119</v>
      </c>
      <c r="G32" s="702" t="s">
        <v>120</v>
      </c>
      <c r="H32" s="20" t="s">
        <v>121</v>
      </c>
      <c r="I32" s="760" t="s">
        <v>124</v>
      </c>
    </row>
    <row r="33" spans="1:9" x14ac:dyDescent="0.25">
      <c r="A33" s="3" t="s">
        <v>123</v>
      </c>
      <c r="B33" s="533"/>
      <c r="C33" s="691"/>
      <c r="D33" s="692"/>
      <c r="E33" s="692"/>
      <c r="F33" s="692"/>
      <c r="G33" s="692"/>
      <c r="H33" s="13"/>
      <c r="I33" s="758"/>
    </row>
    <row r="34" spans="1:9" x14ac:dyDescent="0.25">
      <c r="B34" s="89" t="s">
        <v>9</v>
      </c>
      <c r="C34" s="703" t="s">
        <v>654</v>
      </c>
      <c r="D34" s="704" t="s">
        <v>659</v>
      </c>
      <c r="E34" s="705"/>
      <c r="F34" s="706">
        <v>1</v>
      </c>
      <c r="G34" s="707">
        <v>75</v>
      </c>
      <c r="H34" s="15">
        <f>+G34*F34</f>
        <v>75</v>
      </c>
      <c r="I34" s="761"/>
    </row>
    <row r="35" spans="1:9" x14ac:dyDescent="0.25">
      <c r="B35" s="14"/>
      <c r="C35" s="693"/>
      <c r="D35" s="694"/>
      <c r="E35" s="695"/>
      <c r="F35" s="696"/>
      <c r="G35" s="708"/>
      <c r="H35" s="15">
        <f>+G35*F35</f>
        <v>0</v>
      </c>
      <c r="I35" s="762"/>
    </row>
    <row r="36" spans="1:9" x14ac:dyDescent="0.25">
      <c r="B36" s="14"/>
      <c r="C36" s="693"/>
      <c r="D36" s="694"/>
      <c r="E36" s="695"/>
      <c r="F36" s="696"/>
      <c r="G36" s="708"/>
      <c r="H36" s="15">
        <f>+G36*F36</f>
        <v>0</v>
      </c>
      <c r="I36" s="762"/>
    </row>
    <row r="37" spans="1:9" x14ac:dyDescent="0.25">
      <c r="B37" s="90" t="s">
        <v>566</v>
      </c>
      <c r="C37" s="693"/>
      <c r="D37" s="694"/>
      <c r="E37" s="695"/>
      <c r="F37" s="696"/>
      <c r="G37" s="708"/>
      <c r="H37" s="15">
        <f>SUM(H33:H36)</f>
        <v>75</v>
      </c>
      <c r="I37" s="762"/>
    </row>
    <row r="38" spans="1:9" x14ac:dyDescent="0.25">
      <c r="B38" s="526"/>
      <c r="C38" s="709"/>
      <c r="D38" s="710"/>
      <c r="E38" s="711"/>
      <c r="F38" s="712"/>
      <c r="G38" s="713"/>
      <c r="H38" s="530"/>
      <c r="I38" s="763"/>
    </row>
    <row r="39" spans="1:9" x14ac:dyDescent="0.25">
      <c r="B39" s="90" t="s">
        <v>104</v>
      </c>
      <c r="C39" s="801"/>
      <c r="D39" s="802"/>
      <c r="E39" s="695"/>
      <c r="F39" s="696"/>
      <c r="G39" s="708">
        <v>0</v>
      </c>
      <c r="H39" s="15">
        <f>+G39*F39</f>
        <v>0</v>
      </c>
      <c r="I39" s="762"/>
    </row>
    <row r="40" spans="1:9" x14ac:dyDescent="0.25">
      <c r="B40" s="90"/>
      <c r="C40" s="693"/>
      <c r="D40" s="694"/>
      <c r="E40" s="695"/>
      <c r="F40" s="696"/>
      <c r="G40" s="708"/>
      <c r="H40" s="15">
        <f>+G40*F40</f>
        <v>0</v>
      </c>
      <c r="I40" s="762"/>
    </row>
    <row r="41" spans="1:9" x14ac:dyDescent="0.25">
      <c r="B41" s="90"/>
      <c r="C41" s="693"/>
      <c r="D41" s="694"/>
      <c r="E41" s="695"/>
      <c r="F41" s="696"/>
      <c r="G41" s="708"/>
      <c r="H41" s="15">
        <f>+G41*F41</f>
        <v>0</v>
      </c>
      <c r="I41" s="762"/>
    </row>
    <row r="42" spans="1:9" x14ac:dyDescent="0.25">
      <c r="B42" s="90" t="s">
        <v>567</v>
      </c>
      <c r="C42" s="693"/>
      <c r="D42" s="694"/>
      <c r="E42" s="695"/>
      <c r="F42" s="696"/>
      <c r="G42" s="708"/>
      <c r="H42" s="15">
        <f>SUM(H39:H41)</f>
        <v>0</v>
      </c>
      <c r="I42" s="762"/>
    </row>
    <row r="43" spans="1:9" x14ac:dyDescent="0.25">
      <c r="B43" s="526"/>
      <c r="C43" s="709"/>
      <c r="D43" s="710"/>
      <c r="E43" s="711"/>
      <c r="F43" s="712"/>
      <c r="G43" s="713"/>
      <c r="H43" s="530"/>
      <c r="I43" s="763"/>
    </row>
    <row r="44" spans="1:9" x14ac:dyDescent="0.25">
      <c r="B44" s="90" t="s">
        <v>6</v>
      </c>
      <c r="C44" s="693" t="s">
        <v>658</v>
      </c>
      <c r="D44" s="756" t="s">
        <v>667</v>
      </c>
      <c r="E44" s="695"/>
      <c r="F44" s="696">
        <v>12</v>
      </c>
      <c r="G44" s="708">
        <v>950</v>
      </c>
      <c r="H44" s="15">
        <f>+G44*F44</f>
        <v>11400</v>
      </c>
      <c r="I44" s="762"/>
    </row>
    <row r="45" spans="1:9" x14ac:dyDescent="0.25">
      <c r="B45" s="90"/>
      <c r="C45" s="693"/>
      <c r="D45" s="694"/>
      <c r="E45" s="695"/>
      <c r="F45" s="696"/>
      <c r="G45" s="708"/>
      <c r="H45" s="15">
        <f>+G45*F45</f>
        <v>0</v>
      </c>
      <c r="I45" s="762"/>
    </row>
    <row r="46" spans="1:9" x14ac:dyDescent="0.25">
      <c r="B46" s="90"/>
      <c r="C46" s="693"/>
      <c r="D46" s="694"/>
      <c r="E46" s="695"/>
      <c r="F46" s="696"/>
      <c r="G46" s="708"/>
      <c r="H46" s="15">
        <f>+G46*F46</f>
        <v>0</v>
      </c>
      <c r="I46" s="762"/>
    </row>
    <row r="47" spans="1:9" ht="16.5" thickBot="1" x14ac:dyDescent="0.3">
      <c r="B47" s="90" t="s">
        <v>311</v>
      </c>
      <c r="C47" s="693"/>
      <c r="D47" s="694"/>
      <c r="E47" s="695"/>
      <c r="F47" s="696"/>
      <c r="G47" s="708"/>
      <c r="H47" s="15">
        <f>SUM(H44:H46)</f>
        <v>11400</v>
      </c>
      <c r="I47" s="762"/>
    </row>
    <row r="48" spans="1:9" ht="16.5" thickTop="1" x14ac:dyDescent="0.25">
      <c r="B48" s="529"/>
      <c r="C48" s="714"/>
      <c r="D48" s="688"/>
      <c r="E48" s="688"/>
      <c r="F48" s="688"/>
      <c r="G48" s="715"/>
      <c r="H48" s="528"/>
      <c r="I48" s="715"/>
    </row>
    <row r="49" spans="2:9" x14ac:dyDescent="0.25">
      <c r="B49" s="89" t="s">
        <v>90</v>
      </c>
      <c r="C49" s="693"/>
      <c r="D49" s="694"/>
      <c r="E49" s="695"/>
      <c r="F49" s="696"/>
      <c r="G49" s="699"/>
      <c r="H49" s="15">
        <f>+G49*F49</f>
        <v>0</v>
      </c>
      <c r="I49" s="759"/>
    </row>
    <row r="50" spans="2:9" x14ac:dyDescent="0.25">
      <c r="B50" s="14"/>
      <c r="C50" s="693"/>
      <c r="D50" s="694"/>
      <c r="E50" s="695"/>
      <c r="F50" s="696"/>
      <c r="G50" s="699"/>
      <c r="H50" s="15">
        <f>+G50*F50</f>
        <v>0</v>
      </c>
      <c r="I50" s="759"/>
    </row>
    <row r="51" spans="2:9" x14ac:dyDescent="0.25">
      <c r="B51" s="14"/>
      <c r="C51" s="693"/>
      <c r="D51" s="694"/>
      <c r="E51" s="695"/>
      <c r="F51" s="696"/>
      <c r="G51" s="699"/>
      <c r="H51" s="15">
        <f>+G51*F51</f>
        <v>0</v>
      </c>
      <c r="I51" s="759"/>
    </row>
    <row r="52" spans="2:9" x14ac:dyDescent="0.25">
      <c r="B52" s="90" t="s">
        <v>568</v>
      </c>
      <c r="C52" s="693"/>
      <c r="D52" s="694"/>
      <c r="E52" s="695"/>
      <c r="F52" s="696"/>
      <c r="G52" s="699"/>
      <c r="H52" s="15">
        <f>SUM(H49:H51)</f>
        <v>0</v>
      </c>
      <c r="I52" s="759"/>
    </row>
    <row r="53" spans="2:9" x14ac:dyDescent="0.25">
      <c r="B53" s="531"/>
      <c r="C53" s="698"/>
      <c r="D53" s="698"/>
      <c r="E53" s="698"/>
      <c r="F53" s="698"/>
      <c r="G53" s="698"/>
      <c r="H53" s="92"/>
      <c r="I53" s="698"/>
    </row>
    <row r="54" spans="2:9" x14ac:dyDescent="0.25">
      <c r="B54" s="89" t="s">
        <v>5</v>
      </c>
      <c r="C54" s="756" t="s">
        <v>669</v>
      </c>
      <c r="D54" s="693" t="s">
        <v>668</v>
      </c>
      <c r="E54" s="695"/>
      <c r="F54" s="696">
        <v>12</v>
      </c>
      <c r="G54" s="699">
        <v>65</v>
      </c>
      <c r="H54" s="15">
        <f>+G54*F54</f>
        <v>780</v>
      </c>
      <c r="I54" s="759"/>
    </row>
    <row r="55" spans="2:9" x14ac:dyDescent="0.25">
      <c r="B55" s="14"/>
      <c r="C55" s="693"/>
      <c r="D55" s="693"/>
      <c r="E55" s="695"/>
      <c r="F55" s="696"/>
      <c r="G55" s="699"/>
      <c r="H55" s="15">
        <f>+G55*F55</f>
        <v>0</v>
      </c>
      <c r="I55" s="759"/>
    </row>
    <row r="56" spans="2:9" x14ac:dyDescent="0.25">
      <c r="B56" s="14"/>
      <c r="C56" s="693"/>
      <c r="D56" s="694"/>
      <c r="E56" s="695"/>
      <c r="F56" s="696"/>
      <c r="G56" s="699"/>
      <c r="H56" s="15">
        <f>+G56*F56</f>
        <v>0</v>
      </c>
      <c r="I56" s="759"/>
    </row>
    <row r="57" spans="2:9" ht="16.5" thickBot="1" x14ac:dyDescent="0.3">
      <c r="B57" s="90" t="s">
        <v>308</v>
      </c>
      <c r="C57" s="693"/>
      <c r="D57" s="694"/>
      <c r="E57" s="695"/>
      <c r="F57" s="696"/>
      <c r="G57" s="699"/>
      <c r="H57" s="15">
        <f>SUM(H54:H56)</f>
        <v>780</v>
      </c>
      <c r="I57" s="759"/>
    </row>
    <row r="58" spans="2:9" ht="16.5" thickTop="1" x14ac:dyDescent="0.25">
      <c r="B58" s="529"/>
      <c r="C58" s="714"/>
      <c r="D58" s="688"/>
      <c r="E58" s="688"/>
      <c r="F58" s="688"/>
      <c r="G58" s="688"/>
      <c r="H58" s="11"/>
      <c r="I58" s="688"/>
    </row>
    <row r="59" spans="2:9" x14ac:dyDescent="0.25">
      <c r="B59" s="89" t="s">
        <v>72</v>
      </c>
      <c r="C59" s="693"/>
      <c r="D59" s="694"/>
      <c r="E59" s="695"/>
      <c r="F59" s="696"/>
      <c r="G59" s="699"/>
      <c r="H59" s="15">
        <f>+G59*F59</f>
        <v>0</v>
      </c>
      <c r="I59" s="759"/>
    </row>
    <row r="60" spans="2:9" x14ac:dyDescent="0.25">
      <c r="B60" s="14"/>
      <c r="C60" s="693"/>
      <c r="D60" s="694"/>
      <c r="E60" s="695"/>
      <c r="F60" s="696"/>
      <c r="G60" s="699"/>
      <c r="H60" s="15">
        <f>+G60*F60</f>
        <v>0</v>
      </c>
      <c r="I60" s="759"/>
    </row>
    <row r="61" spans="2:9" x14ac:dyDescent="0.25">
      <c r="B61" s="14"/>
      <c r="C61" s="693"/>
      <c r="D61" s="694"/>
      <c r="E61" s="695"/>
      <c r="F61" s="696"/>
      <c r="G61" s="699"/>
      <c r="H61" s="15">
        <f>+G61*F61</f>
        <v>0</v>
      </c>
      <c r="I61" s="759"/>
    </row>
    <row r="62" spans="2:9" ht="16.5" thickBot="1" x14ac:dyDescent="0.3">
      <c r="B62" s="93" t="s">
        <v>312</v>
      </c>
      <c r="C62" s="693"/>
      <c r="D62" s="694"/>
      <c r="E62" s="695"/>
      <c r="F62" s="696"/>
      <c r="G62" s="699"/>
      <c r="H62" s="15">
        <f>SUM(H59:H61)</f>
        <v>0</v>
      </c>
      <c r="I62" s="759"/>
    </row>
    <row r="63" spans="2:9" ht="16.5" thickTop="1" x14ac:dyDescent="0.25">
      <c r="B63" s="529"/>
      <c r="C63" s="714"/>
      <c r="D63" s="688"/>
      <c r="E63" s="688"/>
      <c r="F63" s="688"/>
      <c r="G63" s="688"/>
      <c r="H63" s="11"/>
      <c r="I63" s="688"/>
    </row>
    <row r="64" spans="2:9" x14ac:dyDescent="0.25">
      <c r="B64" s="89" t="s">
        <v>73</v>
      </c>
      <c r="C64" s="756" t="s">
        <v>670</v>
      </c>
      <c r="D64" s="693" t="s">
        <v>668</v>
      </c>
      <c r="E64" s="695"/>
      <c r="F64" s="696">
        <v>12</v>
      </c>
      <c r="G64" s="699">
        <v>75</v>
      </c>
      <c r="H64" s="15">
        <f>+G64*F64</f>
        <v>900</v>
      </c>
      <c r="I64" s="759"/>
    </row>
    <row r="65" spans="2:9" x14ac:dyDescent="0.25">
      <c r="B65" s="14"/>
      <c r="C65" s="693"/>
      <c r="D65" s="694"/>
      <c r="E65" s="695"/>
      <c r="F65" s="696"/>
      <c r="G65" s="699"/>
      <c r="H65" s="15">
        <f>+G65*F65</f>
        <v>0</v>
      </c>
      <c r="I65" s="759"/>
    </row>
    <row r="66" spans="2:9" x14ac:dyDescent="0.25">
      <c r="B66" s="14"/>
      <c r="C66" s="693"/>
      <c r="D66" s="694"/>
      <c r="E66" s="695"/>
      <c r="F66" s="696"/>
      <c r="G66" s="699"/>
      <c r="H66" s="15">
        <f>+G66*F66</f>
        <v>0</v>
      </c>
      <c r="I66" s="759"/>
    </row>
    <row r="67" spans="2:9" x14ac:dyDescent="0.25">
      <c r="B67" s="93" t="s">
        <v>314</v>
      </c>
      <c r="C67" s="693"/>
      <c r="D67" s="694"/>
      <c r="E67" s="695"/>
      <c r="F67" s="696"/>
      <c r="G67" s="699"/>
      <c r="H67" s="15">
        <f>SUM(H64:H66)</f>
        <v>900</v>
      </c>
      <c r="I67" s="759"/>
    </row>
    <row r="68" spans="2:9" x14ac:dyDescent="0.25">
      <c r="B68" s="531"/>
      <c r="C68" s="698"/>
      <c r="D68" s="698"/>
      <c r="E68" s="698"/>
      <c r="F68" s="698"/>
      <c r="G68" s="698"/>
      <c r="H68" s="92"/>
      <c r="I68" s="698"/>
    </row>
    <row r="69" spans="2:9" x14ac:dyDescent="0.25">
      <c r="B69" s="89" t="s">
        <v>67</v>
      </c>
      <c r="C69" s="693" t="s">
        <v>671</v>
      </c>
      <c r="D69" s="756" t="s">
        <v>668</v>
      </c>
      <c r="E69" s="695" t="s">
        <v>672</v>
      </c>
      <c r="F69" s="696">
        <v>12</v>
      </c>
      <c r="G69" s="699">
        <v>198</v>
      </c>
      <c r="H69" s="15">
        <f>+G69*F69</f>
        <v>2376</v>
      </c>
      <c r="I69" s="759"/>
    </row>
    <row r="70" spans="2:9" x14ac:dyDescent="0.25">
      <c r="B70" s="14"/>
      <c r="C70" s="693"/>
      <c r="D70" s="694"/>
      <c r="E70" s="695"/>
      <c r="F70" s="696"/>
      <c r="G70" s="699"/>
      <c r="H70" s="15">
        <f>+G70*F70</f>
        <v>0</v>
      </c>
      <c r="I70" s="759"/>
    </row>
    <row r="71" spans="2:9" x14ac:dyDescent="0.25">
      <c r="B71" s="14"/>
      <c r="C71" s="693"/>
      <c r="D71" s="694"/>
      <c r="E71" s="695"/>
      <c r="F71" s="696"/>
      <c r="G71" s="699"/>
      <c r="H71" s="15">
        <f>+G71*F71</f>
        <v>0</v>
      </c>
      <c r="I71" s="759"/>
    </row>
    <row r="72" spans="2:9" x14ac:dyDescent="0.25">
      <c r="B72" s="90" t="s">
        <v>310</v>
      </c>
      <c r="C72" s="693"/>
      <c r="D72" s="694"/>
      <c r="E72" s="695"/>
      <c r="F72" s="696"/>
      <c r="G72" s="699"/>
      <c r="H72" s="15">
        <f>SUM(H69:H71)</f>
        <v>2376</v>
      </c>
      <c r="I72" s="759"/>
    </row>
    <row r="73" spans="2:9" x14ac:dyDescent="0.25">
      <c r="B73" s="531"/>
      <c r="C73" s="698"/>
      <c r="D73" s="698"/>
      <c r="E73" s="698"/>
      <c r="F73" s="698"/>
      <c r="G73" s="698"/>
      <c r="H73" s="92"/>
      <c r="I73" s="698"/>
    </row>
    <row r="74" spans="2:9" x14ac:dyDescent="0.25">
      <c r="B74" s="89" t="s">
        <v>68</v>
      </c>
      <c r="C74" s="693" t="s">
        <v>673</v>
      </c>
      <c r="D74" s="694" t="s">
        <v>668</v>
      </c>
      <c r="E74" s="695" t="s">
        <v>672</v>
      </c>
      <c r="F74" s="696">
        <v>15</v>
      </c>
      <c r="G74" s="699">
        <v>198</v>
      </c>
      <c r="H74" s="15">
        <f>+G74*F74</f>
        <v>2970</v>
      </c>
      <c r="I74" s="759"/>
    </row>
    <row r="75" spans="2:9" x14ac:dyDescent="0.25">
      <c r="B75" s="14"/>
      <c r="C75" s="693"/>
      <c r="D75" s="694"/>
      <c r="E75" s="695"/>
      <c r="F75" s="696"/>
      <c r="G75" s="699"/>
      <c r="H75" s="15">
        <f>+G75*F75</f>
        <v>0</v>
      </c>
      <c r="I75" s="759"/>
    </row>
    <row r="76" spans="2:9" x14ac:dyDescent="0.25">
      <c r="B76" s="14"/>
      <c r="C76" s="693"/>
      <c r="D76" s="694"/>
      <c r="E76" s="695"/>
      <c r="F76" s="696"/>
      <c r="G76" s="699"/>
      <c r="H76" s="15">
        <f>+G76*F76</f>
        <v>0</v>
      </c>
      <c r="I76" s="759"/>
    </row>
    <row r="77" spans="2:9" x14ac:dyDescent="0.25">
      <c r="B77" s="90" t="s">
        <v>309</v>
      </c>
      <c r="C77" s="693"/>
      <c r="D77" s="694"/>
      <c r="E77" s="695"/>
      <c r="F77" s="696"/>
      <c r="G77" s="699"/>
      <c r="H77" s="15">
        <f>SUM(H74:H76)</f>
        <v>2970</v>
      </c>
      <c r="I77" s="759"/>
    </row>
    <row r="78" spans="2:9" x14ac:dyDescent="0.25">
      <c r="B78" s="531"/>
      <c r="C78" s="698"/>
      <c r="D78" s="698"/>
      <c r="E78" s="698"/>
      <c r="F78" s="698"/>
      <c r="G78" s="698"/>
      <c r="H78" s="92"/>
      <c r="I78" s="698"/>
    </row>
    <row r="79" spans="2:9" x14ac:dyDescent="0.25">
      <c r="B79" s="89" t="s">
        <v>4</v>
      </c>
      <c r="C79" s="756" t="s">
        <v>200</v>
      </c>
      <c r="D79" s="693" t="s">
        <v>661</v>
      </c>
      <c r="E79" s="695" t="s">
        <v>674</v>
      </c>
      <c r="F79" s="696">
        <v>12</v>
      </c>
      <c r="G79" s="699">
        <v>704</v>
      </c>
      <c r="H79" s="15">
        <f>+G79*F79</f>
        <v>8448</v>
      </c>
      <c r="I79" s="759"/>
    </row>
    <row r="80" spans="2:9" x14ac:dyDescent="0.25">
      <c r="B80" s="14"/>
      <c r="C80" s="693"/>
      <c r="D80" s="694"/>
      <c r="E80" s="695"/>
      <c r="F80" s="696"/>
      <c r="G80" s="699"/>
      <c r="H80" s="15">
        <f>+G80*F80</f>
        <v>0</v>
      </c>
      <c r="I80" s="759"/>
    </row>
    <row r="81" spans="2:9" x14ac:dyDescent="0.25">
      <c r="B81" s="14"/>
      <c r="C81" s="693"/>
      <c r="D81" s="694"/>
      <c r="E81" s="695"/>
      <c r="F81" s="696"/>
      <c r="G81" s="699"/>
      <c r="H81" s="15">
        <f>+G81*F81</f>
        <v>0</v>
      </c>
      <c r="I81" s="759"/>
    </row>
    <row r="82" spans="2:9" x14ac:dyDescent="0.25">
      <c r="B82" s="90" t="s">
        <v>305</v>
      </c>
      <c r="C82" s="693"/>
      <c r="D82" s="694"/>
      <c r="E82" s="695"/>
      <c r="F82" s="696"/>
      <c r="G82" s="699"/>
      <c r="H82" s="15">
        <f>SUM(H79:H81)</f>
        <v>8448</v>
      </c>
      <c r="I82" s="759"/>
    </row>
    <row r="83" spans="2:9" x14ac:dyDescent="0.25">
      <c r="B83" s="531"/>
      <c r="C83" s="698"/>
      <c r="D83" s="698"/>
      <c r="E83" s="698"/>
      <c r="F83" s="698"/>
      <c r="G83" s="698"/>
      <c r="H83" s="92"/>
      <c r="I83" s="698"/>
    </row>
    <row r="84" spans="2:9" x14ac:dyDescent="0.25">
      <c r="B84" s="89" t="s">
        <v>2</v>
      </c>
      <c r="C84" s="693"/>
      <c r="D84" s="861"/>
      <c r="E84" s="695"/>
      <c r="F84" s="696"/>
      <c r="G84" s="699"/>
      <c r="H84" s="15">
        <f>+G84*F84</f>
        <v>0</v>
      </c>
      <c r="I84" s="759"/>
    </row>
    <row r="85" spans="2:9" x14ac:dyDescent="0.25">
      <c r="B85" s="14"/>
      <c r="C85" s="693"/>
      <c r="D85" s="693"/>
      <c r="E85" s="695"/>
      <c r="F85" s="696"/>
      <c r="G85" s="699"/>
      <c r="H85" s="15">
        <f>+G85*F85</f>
        <v>0</v>
      </c>
      <c r="I85" s="759"/>
    </row>
    <row r="86" spans="2:9" x14ac:dyDescent="0.25">
      <c r="B86" s="14"/>
      <c r="C86" s="693"/>
      <c r="D86" s="694"/>
      <c r="E86" s="695"/>
      <c r="F86" s="696"/>
      <c r="G86" s="699"/>
      <c r="H86" s="15">
        <f>+G86*F86</f>
        <v>0</v>
      </c>
      <c r="I86" s="759"/>
    </row>
    <row r="87" spans="2:9" x14ac:dyDescent="0.25">
      <c r="B87" s="90" t="s">
        <v>341</v>
      </c>
      <c r="C87" s="693"/>
      <c r="D87" s="694"/>
      <c r="E87" s="695"/>
      <c r="F87" s="696"/>
      <c r="G87" s="699"/>
      <c r="H87" s="15">
        <f>SUM(H84:H86)</f>
        <v>0</v>
      </c>
      <c r="I87" s="759"/>
    </row>
    <row r="88" spans="2:9" x14ac:dyDescent="0.25">
      <c r="B88" s="531"/>
      <c r="C88" s="698"/>
      <c r="D88" s="698"/>
      <c r="E88" s="698"/>
      <c r="F88" s="698"/>
      <c r="G88" s="698"/>
      <c r="H88" s="92"/>
      <c r="I88" s="698"/>
    </row>
    <row r="89" spans="2:9" x14ac:dyDescent="0.25">
      <c r="B89" s="542" t="s">
        <v>1</v>
      </c>
      <c r="C89" s="716"/>
      <c r="D89" s="717"/>
      <c r="E89" s="716"/>
      <c r="F89" s="718"/>
      <c r="G89" s="719"/>
      <c r="H89" s="556"/>
      <c r="I89" s="764"/>
    </row>
    <row r="90" spans="2:9" x14ac:dyDescent="0.25">
      <c r="B90" s="535"/>
      <c r="C90" s="716"/>
      <c r="D90" s="717"/>
      <c r="E90" s="716"/>
      <c r="F90" s="718"/>
      <c r="G90" s="719"/>
      <c r="H90" s="556"/>
      <c r="I90" s="764"/>
    </row>
    <row r="91" spans="2:9" x14ac:dyDescent="0.25">
      <c r="B91" s="535"/>
      <c r="C91" s="716"/>
      <c r="D91" s="717"/>
      <c r="E91" s="716"/>
      <c r="F91" s="718"/>
      <c r="G91" s="719"/>
      <c r="H91" s="556"/>
      <c r="I91" s="764"/>
    </row>
    <row r="92" spans="2:9" x14ac:dyDescent="0.25">
      <c r="B92" s="524" t="s">
        <v>340</v>
      </c>
      <c r="C92" s="716"/>
      <c r="D92" s="717"/>
      <c r="E92" s="716"/>
      <c r="F92" s="718"/>
      <c r="G92" s="719"/>
      <c r="H92" s="556"/>
      <c r="I92" s="764"/>
    </row>
    <row r="93" spans="2:9" x14ac:dyDescent="0.25">
      <c r="B93" s="91"/>
      <c r="C93" s="698"/>
      <c r="D93" s="698"/>
      <c r="E93" s="698"/>
      <c r="F93" s="698"/>
      <c r="G93" s="698"/>
      <c r="H93" s="92"/>
      <c r="I93" s="698"/>
    </row>
    <row r="94" spans="2:9" x14ac:dyDescent="0.25">
      <c r="B94" s="89" t="s">
        <v>85</v>
      </c>
      <c r="C94" s="693" t="s">
        <v>675</v>
      </c>
      <c r="D94" s="694" t="s">
        <v>676</v>
      </c>
      <c r="E94" s="695" t="s">
        <v>674</v>
      </c>
      <c r="F94" s="696">
        <v>4</v>
      </c>
      <c r="G94" s="699">
        <v>25</v>
      </c>
      <c r="H94" s="15">
        <f>+G94*F94</f>
        <v>100</v>
      </c>
      <c r="I94" s="759"/>
    </row>
    <row r="95" spans="2:9" x14ac:dyDescent="0.25">
      <c r="B95" s="14"/>
      <c r="C95" s="693"/>
      <c r="D95" s="694"/>
      <c r="E95" s="695"/>
      <c r="F95" s="696"/>
      <c r="G95" s="699"/>
      <c r="H95" s="15">
        <f>+G95*F95</f>
        <v>0</v>
      </c>
      <c r="I95" s="759"/>
    </row>
    <row r="96" spans="2:9" x14ac:dyDescent="0.25">
      <c r="B96" s="14"/>
      <c r="C96" s="693"/>
      <c r="D96" s="694"/>
      <c r="E96" s="695"/>
      <c r="F96" s="696"/>
      <c r="G96" s="699"/>
      <c r="H96" s="15">
        <f>+G96*F96</f>
        <v>0</v>
      </c>
      <c r="I96" s="759"/>
    </row>
    <row r="97" spans="2:9" ht="16.5" thickBot="1" x14ac:dyDescent="0.3">
      <c r="B97" s="90" t="s">
        <v>304</v>
      </c>
      <c r="C97" s="693"/>
      <c r="D97" s="694"/>
      <c r="E97" s="695"/>
      <c r="F97" s="696"/>
      <c r="G97" s="699"/>
      <c r="H97" s="15">
        <f>SUM(H94:H96)</f>
        <v>100</v>
      </c>
      <c r="I97" s="759"/>
    </row>
    <row r="98" spans="2:9" ht="16.5" thickTop="1" x14ac:dyDescent="0.25">
      <c r="B98" s="11"/>
      <c r="C98" s="688"/>
      <c r="D98" s="688"/>
      <c r="E98" s="688"/>
      <c r="F98" s="688"/>
      <c r="G98" s="688"/>
      <c r="H98" s="11"/>
      <c r="I98" s="688"/>
    </row>
    <row r="99" spans="2:9" x14ac:dyDescent="0.25">
      <c r="B99" s="89" t="s">
        <v>107</v>
      </c>
      <c r="C99" s="693"/>
      <c r="D99" s="694"/>
      <c r="E99" s="695"/>
      <c r="F99" s="696">
        <v>0</v>
      </c>
      <c r="G99" s="699"/>
      <c r="H99" s="15">
        <f>+G99*F99</f>
        <v>0</v>
      </c>
      <c r="I99" s="759"/>
    </row>
    <row r="100" spans="2:9" x14ac:dyDescent="0.25">
      <c r="B100" s="14"/>
      <c r="C100" s="693"/>
      <c r="D100" s="694"/>
      <c r="E100" s="695"/>
      <c r="F100" s="696"/>
      <c r="G100" s="699"/>
      <c r="H100" s="15">
        <f>+G100*F100</f>
        <v>0</v>
      </c>
      <c r="I100" s="759"/>
    </row>
    <row r="101" spans="2:9" x14ac:dyDescent="0.25">
      <c r="B101" s="14"/>
      <c r="C101" s="693"/>
      <c r="D101" s="694"/>
      <c r="E101" s="695"/>
      <c r="F101" s="696"/>
      <c r="G101" s="699"/>
      <c r="H101" s="15">
        <f>+G101*F101</f>
        <v>0</v>
      </c>
      <c r="I101" s="759"/>
    </row>
    <row r="102" spans="2:9" ht="16.5" thickBot="1" x14ac:dyDescent="0.3">
      <c r="B102" s="90" t="s">
        <v>569</v>
      </c>
      <c r="C102" s="693"/>
      <c r="D102" s="694"/>
      <c r="E102" s="695"/>
      <c r="F102" s="696"/>
      <c r="G102" s="699"/>
      <c r="H102" s="15">
        <f>SUM(H99:H101)</f>
        <v>0</v>
      </c>
      <c r="I102" s="765"/>
    </row>
    <row r="103" spans="2:9" ht="16.5" thickTop="1" x14ac:dyDescent="0.25">
      <c r="B103" s="11"/>
      <c r="C103" s="688"/>
      <c r="D103" s="688"/>
      <c r="E103" s="688"/>
      <c r="F103" s="688"/>
      <c r="G103" s="688"/>
      <c r="H103" s="11"/>
      <c r="I103" s="688"/>
    </row>
    <row r="104" spans="2:9" s="94" customFormat="1" x14ac:dyDescent="0.25">
      <c r="B104" s="95" t="s">
        <v>3</v>
      </c>
      <c r="C104" s="720" t="s">
        <v>346</v>
      </c>
      <c r="D104" s="721" t="s">
        <v>660</v>
      </c>
      <c r="E104" s="722" t="s">
        <v>674</v>
      </c>
      <c r="F104" s="722">
        <v>600</v>
      </c>
      <c r="G104" s="708">
        <v>0.05</v>
      </c>
      <c r="H104" s="15">
        <f>+G104*F104</f>
        <v>30</v>
      </c>
      <c r="I104" s="759"/>
    </row>
    <row r="105" spans="2:9" s="94" customFormat="1" x14ac:dyDescent="0.25">
      <c r="B105" s="96"/>
      <c r="C105" s="720"/>
      <c r="D105" s="723"/>
      <c r="E105" s="696"/>
      <c r="F105" s="696"/>
      <c r="G105" s="708"/>
      <c r="H105" s="15">
        <f>+G105*F105</f>
        <v>0</v>
      </c>
      <c r="I105" s="759"/>
    </row>
    <row r="106" spans="2:9" s="94" customFormat="1" x14ac:dyDescent="0.25">
      <c r="B106" s="96"/>
      <c r="C106" s="720"/>
      <c r="D106" s="723"/>
      <c r="E106" s="696"/>
      <c r="F106" s="696"/>
      <c r="G106" s="708"/>
      <c r="H106" s="15">
        <f>+G106*F106</f>
        <v>0</v>
      </c>
      <c r="I106" s="759"/>
    </row>
    <row r="107" spans="2:9" s="94" customFormat="1" x14ac:dyDescent="0.25">
      <c r="B107" s="93" t="s">
        <v>303</v>
      </c>
      <c r="C107" s="720"/>
      <c r="D107" s="724"/>
      <c r="E107" s="725"/>
      <c r="F107" s="725"/>
      <c r="G107" s="708"/>
      <c r="H107" s="15">
        <f>SUM(H104:H106)</f>
        <v>30</v>
      </c>
      <c r="I107" s="759"/>
    </row>
    <row r="108" spans="2:9" s="94" customFormat="1" x14ac:dyDescent="0.25">
      <c r="B108" s="525"/>
      <c r="C108" s="726"/>
      <c r="D108" s="727"/>
      <c r="E108" s="712"/>
      <c r="F108" s="712"/>
      <c r="G108" s="728"/>
      <c r="H108" s="523"/>
      <c r="I108" s="766"/>
    </row>
    <row r="109" spans="2:9" s="94" customFormat="1" x14ac:dyDescent="0.25">
      <c r="B109" s="524" t="s">
        <v>94</v>
      </c>
      <c r="C109" s="696"/>
      <c r="D109" s="723"/>
      <c r="E109" s="696"/>
      <c r="F109" s="696"/>
      <c r="G109" s="729">
        <v>0</v>
      </c>
      <c r="H109" s="522">
        <f>+G109*F109</f>
        <v>0</v>
      </c>
      <c r="I109" s="762"/>
    </row>
    <row r="110" spans="2:9" s="94" customFormat="1" x14ac:dyDescent="0.25">
      <c r="B110" s="524"/>
      <c r="C110" s="696"/>
      <c r="D110" s="723"/>
      <c r="E110" s="696"/>
      <c r="F110" s="696"/>
      <c r="G110" s="729"/>
      <c r="H110" s="522">
        <f>+G110*F110</f>
        <v>0</v>
      </c>
      <c r="I110" s="762"/>
    </row>
    <row r="111" spans="2:9" s="94" customFormat="1" x14ac:dyDescent="0.25">
      <c r="B111" s="524"/>
      <c r="C111" s="696"/>
      <c r="D111" s="723"/>
      <c r="E111" s="696"/>
      <c r="F111" s="696"/>
      <c r="G111" s="729"/>
      <c r="H111" s="522">
        <f>+G111*F111</f>
        <v>0</v>
      </c>
      <c r="I111" s="762"/>
    </row>
    <row r="112" spans="2:9" s="94" customFormat="1" x14ac:dyDescent="0.25">
      <c r="B112" s="524" t="s">
        <v>570</v>
      </c>
      <c r="C112" s="696"/>
      <c r="D112" s="723"/>
      <c r="E112" s="696"/>
      <c r="F112" s="696"/>
      <c r="G112" s="729"/>
      <c r="H112" s="522">
        <f>SUM(H109:H111)</f>
        <v>0</v>
      </c>
      <c r="I112" s="762"/>
    </row>
    <row r="113" spans="2:9" s="94" customFormat="1" ht="16.5" thickBot="1" x14ac:dyDescent="0.3">
      <c r="B113" s="525"/>
      <c r="C113" s="712"/>
      <c r="D113" s="727"/>
      <c r="E113" s="712"/>
      <c r="F113" s="712"/>
      <c r="G113" s="728"/>
      <c r="H113" s="523"/>
      <c r="I113" s="767"/>
    </row>
    <row r="114" spans="2:9" s="94" customFormat="1" ht="16.5" thickTop="1" x14ac:dyDescent="0.25">
      <c r="B114" s="524" t="s">
        <v>110</v>
      </c>
      <c r="C114" s="696"/>
      <c r="D114" s="723"/>
      <c r="E114" s="696"/>
      <c r="F114" s="696">
        <v>0</v>
      </c>
      <c r="G114" s="729">
        <v>0</v>
      </c>
      <c r="H114" s="522">
        <f>+G114*F114</f>
        <v>0</v>
      </c>
      <c r="I114" s="768"/>
    </row>
    <row r="115" spans="2:9" s="94" customFormat="1" x14ac:dyDescent="0.25">
      <c r="B115" s="524"/>
      <c r="C115" s="696"/>
      <c r="D115" s="723"/>
      <c r="E115" s="696"/>
      <c r="F115" s="696"/>
      <c r="G115" s="729"/>
      <c r="H115" s="522">
        <f>+G115*F115</f>
        <v>0</v>
      </c>
      <c r="I115" s="768"/>
    </row>
    <row r="116" spans="2:9" s="94" customFormat="1" x14ac:dyDescent="0.25">
      <c r="B116" s="524"/>
      <c r="C116" s="696"/>
      <c r="D116" s="723"/>
      <c r="E116" s="696"/>
      <c r="F116" s="696"/>
      <c r="G116" s="729"/>
      <c r="H116" s="522">
        <f>+G116*F116</f>
        <v>0</v>
      </c>
      <c r="I116" s="768"/>
    </row>
    <row r="117" spans="2:9" s="94" customFormat="1" ht="16.5" thickBot="1" x14ac:dyDescent="0.3">
      <c r="B117" s="524" t="s">
        <v>316</v>
      </c>
      <c r="C117" s="696"/>
      <c r="D117" s="723"/>
      <c r="E117" s="696"/>
      <c r="F117" s="696"/>
      <c r="G117" s="729"/>
      <c r="H117" s="522">
        <f>SUM(H114:H116)</f>
        <v>0</v>
      </c>
      <c r="I117" s="768"/>
    </row>
    <row r="118" spans="2:9" ht="16.5" thickTop="1" x14ac:dyDescent="0.25">
      <c r="B118" s="541"/>
      <c r="C118" s="730"/>
      <c r="D118" s="730"/>
      <c r="E118" s="730"/>
      <c r="F118" s="730"/>
      <c r="G118" s="714"/>
      <c r="H118" s="11"/>
      <c r="I118" s="688"/>
    </row>
    <row r="119" spans="2:9" x14ac:dyDescent="0.25">
      <c r="B119" s="542" t="s">
        <v>8</v>
      </c>
      <c r="C119" s="695" t="s">
        <v>677</v>
      </c>
      <c r="D119" s="694" t="s">
        <v>668</v>
      </c>
      <c r="E119" s="695" t="s">
        <v>678</v>
      </c>
      <c r="F119" s="696">
        <v>12</v>
      </c>
      <c r="G119" s="708">
        <v>30</v>
      </c>
      <c r="H119" s="15">
        <f>+G119*F119</f>
        <v>360</v>
      </c>
      <c r="I119" s="759"/>
    </row>
    <row r="120" spans="2:9" x14ac:dyDescent="0.25">
      <c r="B120" s="535"/>
      <c r="C120" s="695"/>
      <c r="D120" s="694"/>
      <c r="E120" s="695"/>
      <c r="F120" s="696"/>
      <c r="G120" s="708"/>
      <c r="H120" s="15">
        <f>+G120*F120</f>
        <v>0</v>
      </c>
      <c r="I120" s="759"/>
    </row>
    <row r="121" spans="2:9" x14ac:dyDescent="0.25">
      <c r="B121" s="535"/>
      <c r="C121" s="695"/>
      <c r="D121" s="694"/>
      <c r="E121" s="695"/>
      <c r="F121" s="696"/>
      <c r="G121" s="708"/>
      <c r="H121" s="15">
        <f>+G121*F121</f>
        <v>0</v>
      </c>
      <c r="I121" s="759"/>
    </row>
    <row r="122" spans="2:9" ht="16.5" thickBot="1" x14ac:dyDescent="0.3">
      <c r="B122" s="521" t="s">
        <v>313</v>
      </c>
      <c r="C122" s="695"/>
      <c r="D122" s="694"/>
      <c r="E122" s="695"/>
      <c r="F122" s="696"/>
      <c r="G122" s="708"/>
      <c r="H122" s="15">
        <f>SUM(H119:H121)</f>
        <v>360</v>
      </c>
      <c r="I122" s="765"/>
    </row>
    <row r="123" spans="2:9" ht="16.5" thickTop="1" x14ac:dyDescent="0.25">
      <c r="B123" s="541"/>
      <c r="C123" s="731"/>
      <c r="D123" s="730"/>
      <c r="E123" s="730"/>
      <c r="F123" s="730"/>
      <c r="G123" s="714"/>
      <c r="H123" s="11"/>
      <c r="I123" s="688"/>
    </row>
    <row r="124" spans="2:9" x14ac:dyDescent="0.25">
      <c r="B124" s="89" t="s">
        <v>88</v>
      </c>
      <c r="C124" s="693" t="s">
        <v>679</v>
      </c>
      <c r="D124" s="694" t="s">
        <v>668</v>
      </c>
      <c r="E124" s="695" t="s">
        <v>674</v>
      </c>
      <c r="F124" s="696">
        <v>12</v>
      </c>
      <c r="G124" s="708">
        <v>25</v>
      </c>
      <c r="H124" s="15">
        <f>+G124*F124</f>
        <v>300</v>
      </c>
      <c r="I124" s="759"/>
    </row>
    <row r="125" spans="2:9" x14ac:dyDescent="0.25">
      <c r="B125" s="14"/>
      <c r="C125" s="693"/>
      <c r="D125" s="694"/>
      <c r="E125" s="695"/>
      <c r="F125" s="696"/>
      <c r="G125" s="708"/>
      <c r="H125" s="15">
        <f>+G125*F125</f>
        <v>0</v>
      </c>
      <c r="I125" s="759"/>
    </row>
    <row r="126" spans="2:9" x14ac:dyDescent="0.25">
      <c r="B126" s="14"/>
      <c r="C126" s="693"/>
      <c r="D126" s="694"/>
      <c r="E126" s="695"/>
      <c r="F126" s="696"/>
      <c r="G126" s="708"/>
      <c r="H126" s="15">
        <f>+G126*F126</f>
        <v>0</v>
      </c>
      <c r="I126" s="759"/>
    </row>
    <row r="127" spans="2:9" ht="16.5" thickBot="1" x14ac:dyDescent="0.3">
      <c r="B127" s="90" t="s">
        <v>307</v>
      </c>
      <c r="C127" s="693"/>
      <c r="D127" s="732"/>
      <c r="E127" s="733"/>
      <c r="F127" s="725"/>
      <c r="G127" s="708"/>
      <c r="H127" s="15">
        <f>SUM(H124:H126)</f>
        <v>300</v>
      </c>
      <c r="I127" s="759"/>
    </row>
    <row r="128" spans="2:9" ht="16.5" thickTop="1" x14ac:dyDescent="0.25">
      <c r="B128" s="11"/>
      <c r="C128" s="688"/>
      <c r="D128" s="734"/>
      <c r="E128" s="734"/>
      <c r="F128" s="734"/>
      <c r="G128" s="688"/>
      <c r="H128" s="11"/>
      <c r="I128" s="688"/>
    </row>
    <row r="129" spans="2:10" x14ac:dyDescent="0.25">
      <c r="B129" s="89" t="s">
        <v>87</v>
      </c>
      <c r="C129" s="693"/>
      <c r="D129" s="694"/>
      <c r="E129" s="695"/>
      <c r="F129" s="696"/>
      <c r="G129" s="699"/>
      <c r="H129" s="15">
        <f>+G129*F129</f>
        <v>0</v>
      </c>
      <c r="I129" s="759"/>
    </row>
    <row r="130" spans="2:10" x14ac:dyDescent="0.25">
      <c r="B130" s="14"/>
      <c r="C130" s="693"/>
      <c r="D130" s="694"/>
      <c r="E130" s="695"/>
      <c r="F130" s="696"/>
      <c r="G130" s="699"/>
      <c r="H130" s="15">
        <f>+G130*F130</f>
        <v>0</v>
      </c>
      <c r="I130" s="759"/>
    </row>
    <row r="131" spans="2:10" x14ac:dyDescent="0.25">
      <c r="B131" s="14"/>
      <c r="C131" s="693"/>
      <c r="D131" s="694"/>
      <c r="E131" s="695"/>
      <c r="F131" s="696"/>
      <c r="G131" s="699"/>
      <c r="H131" s="15">
        <f>+G131*F131</f>
        <v>0</v>
      </c>
      <c r="I131" s="759"/>
    </row>
    <row r="132" spans="2:10" ht="16.5" thickBot="1" x14ac:dyDescent="0.3">
      <c r="B132" s="90" t="s">
        <v>306</v>
      </c>
      <c r="C132" s="693"/>
      <c r="D132" s="694"/>
      <c r="E132" s="695"/>
      <c r="F132" s="696"/>
      <c r="G132" s="699"/>
      <c r="H132" s="15">
        <f>SUM(H129:H131)</f>
        <v>0</v>
      </c>
      <c r="I132" s="765"/>
    </row>
    <row r="133" spans="2:10" ht="16.5" thickTop="1" x14ac:dyDescent="0.25">
      <c r="B133" s="529"/>
      <c r="C133" s="730"/>
      <c r="D133" s="730"/>
      <c r="E133" s="730"/>
      <c r="F133" s="730"/>
      <c r="G133" s="730"/>
      <c r="H133" s="528"/>
      <c r="I133" s="688"/>
    </row>
    <row r="134" spans="2:10" x14ac:dyDescent="0.25">
      <c r="B134" s="542" t="s">
        <v>564</v>
      </c>
      <c r="C134" s="716"/>
      <c r="D134" s="717"/>
      <c r="E134" s="716"/>
      <c r="F134" s="718"/>
      <c r="G134" s="719"/>
      <c r="H134" s="556"/>
      <c r="I134" s="764"/>
    </row>
    <row r="135" spans="2:10" x14ac:dyDescent="0.25">
      <c r="B135" s="535"/>
      <c r="C135" s="716"/>
      <c r="D135" s="735"/>
      <c r="E135" s="716"/>
      <c r="F135" s="718"/>
      <c r="G135" s="719"/>
      <c r="H135" s="556"/>
      <c r="I135" s="764"/>
    </row>
    <row r="136" spans="2:10" x14ac:dyDescent="0.25">
      <c r="B136" s="535"/>
      <c r="C136" s="716"/>
      <c r="D136" s="717"/>
      <c r="E136" s="716"/>
      <c r="F136" s="718"/>
      <c r="G136" s="719"/>
      <c r="H136" s="556"/>
      <c r="I136" s="764"/>
    </row>
    <row r="137" spans="2:10" x14ac:dyDescent="0.25">
      <c r="B137" s="521" t="s">
        <v>571</v>
      </c>
      <c r="C137" s="716"/>
      <c r="D137" s="717"/>
      <c r="E137" s="716"/>
      <c r="F137" s="718"/>
      <c r="G137" s="719"/>
      <c r="H137" s="556"/>
      <c r="I137" s="769"/>
    </row>
    <row r="138" spans="2:10" x14ac:dyDescent="0.25">
      <c r="B138" s="534"/>
      <c r="C138" s="736"/>
      <c r="D138" s="736"/>
      <c r="E138" s="736"/>
      <c r="F138" s="736"/>
      <c r="G138" s="736"/>
      <c r="H138" s="17"/>
      <c r="I138" s="770"/>
    </row>
    <row r="139" spans="2:10" x14ac:dyDescent="0.25">
      <c r="B139" s="543" t="s">
        <v>75</v>
      </c>
      <c r="C139" s="737" t="s">
        <v>680</v>
      </c>
      <c r="D139" s="737" t="s">
        <v>668</v>
      </c>
      <c r="E139" s="737" t="s">
        <v>681</v>
      </c>
      <c r="F139" s="737">
        <v>12</v>
      </c>
      <c r="G139" s="737">
        <v>25</v>
      </c>
      <c r="H139" s="527">
        <f>+G139*F139</f>
        <v>300</v>
      </c>
      <c r="I139" s="771"/>
      <c r="J139" s="536"/>
    </row>
    <row r="140" spans="2:10" x14ac:dyDescent="0.25">
      <c r="B140" s="544"/>
      <c r="C140" s="738"/>
      <c r="D140" s="738"/>
      <c r="E140" s="738" t="s">
        <v>682</v>
      </c>
      <c r="F140" s="738"/>
      <c r="G140" s="738"/>
      <c r="H140" s="527">
        <f>+G140*F140</f>
        <v>0</v>
      </c>
      <c r="I140" s="772"/>
      <c r="J140" s="536"/>
    </row>
    <row r="141" spans="2:10" x14ac:dyDescent="0.25">
      <c r="B141" s="544"/>
      <c r="C141" s="738"/>
      <c r="D141" s="738"/>
      <c r="E141" s="738"/>
      <c r="F141" s="738"/>
      <c r="G141" s="738"/>
      <c r="H141" s="527">
        <f>+G141*F141</f>
        <v>0</v>
      </c>
      <c r="I141" s="772"/>
      <c r="J141" s="536"/>
    </row>
    <row r="142" spans="2:10" x14ac:dyDescent="0.25">
      <c r="B142" s="545" t="s">
        <v>572</v>
      </c>
      <c r="C142" s="739"/>
      <c r="D142" s="739"/>
      <c r="E142" s="739"/>
      <c r="F142" s="739"/>
      <c r="G142" s="739"/>
      <c r="H142" s="527">
        <f>SUM(H139:H141)</f>
        <v>300</v>
      </c>
      <c r="I142" s="773"/>
      <c r="J142" s="536"/>
    </row>
    <row r="143" spans="2:10" x14ac:dyDescent="0.25">
      <c r="B143" s="548"/>
      <c r="C143" s="740"/>
      <c r="D143" s="740"/>
      <c r="E143" s="740"/>
      <c r="F143" s="740"/>
      <c r="G143" s="740"/>
      <c r="H143" s="523"/>
      <c r="I143" s="774"/>
      <c r="J143" s="536"/>
    </row>
    <row r="144" spans="2:10" x14ac:dyDescent="0.25">
      <c r="B144" s="543" t="s">
        <v>609</v>
      </c>
      <c r="C144" s="737"/>
      <c r="D144" s="737"/>
      <c r="E144" s="737"/>
      <c r="F144" s="737"/>
      <c r="G144" s="737">
        <v>0</v>
      </c>
      <c r="H144" s="527">
        <f>+G144*F144</f>
        <v>0</v>
      </c>
      <c r="I144" s="771"/>
      <c r="J144" s="536"/>
    </row>
    <row r="145" spans="2:10" x14ac:dyDescent="0.25">
      <c r="B145" s="544"/>
      <c r="C145" s="738"/>
      <c r="D145" s="738"/>
      <c r="E145" s="738"/>
      <c r="F145" s="738"/>
      <c r="G145" s="738"/>
      <c r="H145" s="527">
        <f>+G145*F145</f>
        <v>0</v>
      </c>
      <c r="I145" s="772"/>
      <c r="J145" s="536"/>
    </row>
    <row r="146" spans="2:10" x14ac:dyDescent="0.25">
      <c r="B146" s="544"/>
      <c r="C146" s="738"/>
      <c r="D146" s="738"/>
      <c r="E146" s="738"/>
      <c r="F146" s="738"/>
      <c r="G146" s="738"/>
      <c r="H146" s="527">
        <f>+G146*F146</f>
        <v>0</v>
      </c>
      <c r="I146" s="772"/>
      <c r="J146" s="536"/>
    </row>
    <row r="147" spans="2:10" x14ac:dyDescent="0.25">
      <c r="B147" s="545" t="s">
        <v>610</v>
      </c>
      <c r="C147" s="739"/>
      <c r="D147" s="739"/>
      <c r="E147" s="739"/>
      <c r="F147" s="739"/>
      <c r="G147" s="739"/>
      <c r="H147" s="527">
        <f>SUM(H144:H146)</f>
        <v>0</v>
      </c>
      <c r="I147" s="773"/>
      <c r="J147" s="536"/>
    </row>
    <row r="148" spans="2:10" x14ac:dyDescent="0.25">
      <c r="B148" s="546"/>
      <c r="C148" s="741"/>
      <c r="D148" s="741"/>
      <c r="E148" s="741"/>
      <c r="F148" s="741"/>
      <c r="G148" s="741"/>
      <c r="H148" s="539"/>
      <c r="I148" s="775"/>
      <c r="J148" s="536"/>
    </row>
    <row r="149" spans="2:10" x14ac:dyDescent="0.25">
      <c r="B149" s="97" t="s">
        <v>103</v>
      </c>
      <c r="C149" s="738"/>
      <c r="D149" s="738"/>
      <c r="E149" s="738"/>
      <c r="F149" s="738">
        <v>12</v>
      </c>
      <c r="G149" s="738"/>
      <c r="H149" s="527">
        <f>+G149*F149</f>
        <v>0</v>
      </c>
      <c r="I149" s="772"/>
      <c r="J149" s="536"/>
    </row>
    <row r="150" spans="2:10" x14ac:dyDescent="0.25">
      <c r="B150" s="97"/>
      <c r="C150" s="738"/>
      <c r="D150" s="738"/>
      <c r="E150" s="738"/>
      <c r="F150" s="738"/>
      <c r="G150" s="738"/>
      <c r="H150" s="527">
        <f>+G150*F150</f>
        <v>0</v>
      </c>
      <c r="I150" s="772"/>
      <c r="J150" s="536"/>
    </row>
    <row r="151" spans="2:10" x14ac:dyDescent="0.25">
      <c r="B151" s="97"/>
      <c r="C151" s="738"/>
      <c r="D151" s="738"/>
      <c r="E151" s="738"/>
      <c r="F151" s="738"/>
      <c r="G151" s="738"/>
      <c r="H151" s="527">
        <f>+G151*F151</f>
        <v>0</v>
      </c>
      <c r="I151" s="772"/>
      <c r="J151" s="536"/>
    </row>
    <row r="152" spans="2:10" x14ac:dyDescent="0.25">
      <c r="B152" s="97" t="s">
        <v>315</v>
      </c>
      <c r="C152" s="742"/>
      <c r="D152" s="742"/>
      <c r="E152" s="742"/>
      <c r="F152" s="742"/>
      <c r="G152" s="742"/>
      <c r="H152" s="527">
        <f>SUM(H149:H151)</f>
        <v>0</v>
      </c>
      <c r="I152" s="749"/>
      <c r="J152" s="536"/>
    </row>
    <row r="153" spans="2:10" x14ac:dyDescent="0.25">
      <c r="B153" s="547"/>
      <c r="C153" s="743"/>
      <c r="D153" s="743"/>
      <c r="E153" s="743"/>
      <c r="F153" s="743"/>
      <c r="G153" s="743"/>
      <c r="H153" s="540"/>
      <c r="I153" s="776"/>
    </row>
    <row r="154" spans="2:10" x14ac:dyDescent="0.25">
      <c r="B154" s="89" t="s">
        <v>573</v>
      </c>
      <c r="C154" s="695" t="s">
        <v>683</v>
      </c>
      <c r="D154" s="694" t="s">
        <v>668</v>
      </c>
      <c r="E154" s="695"/>
      <c r="F154" s="696">
        <v>12</v>
      </c>
      <c r="G154" s="699">
        <v>11.25</v>
      </c>
      <c r="H154" s="527">
        <f>+G154*F154</f>
        <v>135</v>
      </c>
      <c r="I154" s="759"/>
    </row>
    <row r="155" spans="2:10" x14ac:dyDescent="0.25">
      <c r="B155" s="14"/>
      <c r="C155" s="695" t="s">
        <v>684</v>
      </c>
      <c r="D155" s="694"/>
      <c r="E155" s="695"/>
      <c r="F155" s="696"/>
      <c r="G155" s="699"/>
      <c r="H155" s="527">
        <f>+G155*F155</f>
        <v>0</v>
      </c>
      <c r="I155" s="759"/>
    </row>
    <row r="156" spans="2:10" x14ac:dyDescent="0.25">
      <c r="B156" s="14"/>
      <c r="C156" s="695"/>
      <c r="D156" s="694"/>
      <c r="E156" s="695"/>
      <c r="F156" s="696"/>
      <c r="G156" s="699"/>
      <c r="H156" s="527">
        <f>+G156*F156</f>
        <v>0</v>
      </c>
      <c r="I156" s="759"/>
    </row>
    <row r="157" spans="2:10" x14ac:dyDescent="0.25">
      <c r="B157" s="90" t="s">
        <v>574</v>
      </c>
      <c r="C157" s="695"/>
      <c r="D157" s="694"/>
      <c r="E157" s="695"/>
      <c r="F157" s="696"/>
      <c r="G157" s="699"/>
      <c r="H157" s="527">
        <f>SUM(H154:H156)</f>
        <v>135</v>
      </c>
      <c r="I157" s="765"/>
    </row>
    <row r="158" spans="2:10" x14ac:dyDescent="0.25">
      <c r="B158" s="547"/>
      <c r="C158" s="743"/>
      <c r="D158" s="743"/>
      <c r="E158" s="743"/>
      <c r="F158" s="743"/>
      <c r="G158" s="743"/>
      <c r="H158" s="540"/>
      <c r="I158" s="776"/>
    </row>
    <row r="159" spans="2:10" x14ac:dyDescent="0.25">
      <c r="B159" s="89" t="s">
        <v>565</v>
      </c>
      <c r="C159" s="695"/>
      <c r="D159" s="694"/>
      <c r="E159" s="695"/>
      <c r="F159" s="696"/>
      <c r="G159" s="699"/>
      <c r="H159" s="527">
        <f>+G159*F159</f>
        <v>0</v>
      </c>
      <c r="I159" s="759"/>
    </row>
    <row r="160" spans="2:10" x14ac:dyDescent="0.25">
      <c r="B160" s="14"/>
      <c r="C160" s="695"/>
      <c r="D160" s="694"/>
      <c r="E160" s="695"/>
      <c r="F160" s="696"/>
      <c r="G160" s="699"/>
      <c r="H160" s="527">
        <f>+G160*F160</f>
        <v>0</v>
      </c>
      <c r="I160" s="759"/>
    </row>
    <row r="161" spans="1:9" x14ac:dyDescent="0.25">
      <c r="B161" s="14"/>
      <c r="C161" s="695"/>
      <c r="D161" s="694"/>
      <c r="E161" s="695"/>
      <c r="F161" s="696"/>
      <c r="G161" s="699"/>
      <c r="H161" s="527">
        <f>+G161*F161</f>
        <v>0</v>
      </c>
      <c r="I161" s="759"/>
    </row>
    <row r="162" spans="1:9" x14ac:dyDescent="0.25">
      <c r="B162" s="90" t="s">
        <v>575</v>
      </c>
      <c r="C162" s="695"/>
      <c r="D162" s="694"/>
      <c r="E162" s="695"/>
      <c r="F162" s="696"/>
      <c r="G162" s="699"/>
      <c r="H162" s="527">
        <f>SUM(H159:H161)</f>
        <v>0</v>
      </c>
      <c r="I162" s="765"/>
    </row>
    <row r="163" spans="1:9" x14ac:dyDescent="0.25">
      <c r="B163" s="547"/>
      <c r="C163" s="743"/>
      <c r="D163" s="744"/>
      <c r="E163" s="744"/>
      <c r="F163" s="744"/>
      <c r="G163" s="744"/>
      <c r="H163" s="540"/>
      <c r="I163" s="776"/>
    </row>
    <row r="164" spans="1:9" x14ac:dyDescent="0.25">
      <c r="B164" s="21"/>
      <c r="C164" s="133"/>
      <c r="D164" s="133"/>
      <c r="E164" s="133"/>
      <c r="F164" s="133"/>
      <c r="G164" s="133"/>
      <c r="H164" s="538"/>
      <c r="I164" s="133"/>
    </row>
    <row r="165" spans="1:9" x14ac:dyDescent="0.25">
      <c r="B165" s="537"/>
      <c r="C165" s="133"/>
      <c r="D165" s="133"/>
      <c r="E165" s="133"/>
      <c r="F165" s="133"/>
      <c r="G165" s="133"/>
      <c r="H165" s="538"/>
      <c r="I165" s="133"/>
    </row>
    <row r="166" spans="1:9" x14ac:dyDescent="0.25">
      <c r="B166" s="537"/>
      <c r="C166" s="133"/>
      <c r="D166" s="133"/>
      <c r="E166" s="133"/>
      <c r="F166" s="133"/>
      <c r="G166" s="133"/>
      <c r="H166" s="538"/>
      <c r="I166" s="133"/>
    </row>
    <row r="167" spans="1:9" ht="16.5" thickBot="1" x14ac:dyDescent="0.3">
      <c r="B167" s="18"/>
      <c r="C167" s="700"/>
      <c r="D167" s="700"/>
      <c r="E167" s="700"/>
      <c r="F167" s="700"/>
      <c r="G167" s="700"/>
      <c r="H167" s="19"/>
      <c r="I167" s="700"/>
    </row>
    <row r="168" spans="1:9" ht="32.25" thickTop="1" x14ac:dyDescent="0.25">
      <c r="A168" s="11" t="s">
        <v>298</v>
      </c>
      <c r="B168" s="11" t="s">
        <v>168</v>
      </c>
      <c r="C168" s="745" t="s">
        <v>116</v>
      </c>
      <c r="D168" s="702" t="s">
        <v>117</v>
      </c>
      <c r="E168" s="702" t="s">
        <v>118</v>
      </c>
      <c r="F168" s="702" t="s">
        <v>119</v>
      </c>
      <c r="G168" s="702" t="s">
        <v>120</v>
      </c>
      <c r="H168" s="20" t="s">
        <v>121</v>
      </c>
      <c r="I168" s="760" t="s">
        <v>124</v>
      </c>
    </row>
    <row r="169" spans="1:9" x14ac:dyDescent="0.25">
      <c r="A169" s="3" t="s">
        <v>125</v>
      </c>
      <c r="B169" s="3"/>
      <c r="C169" s="691"/>
      <c r="D169" s="692"/>
      <c r="E169" s="692"/>
      <c r="F169" s="692"/>
      <c r="G169" s="692"/>
      <c r="H169" s="13"/>
      <c r="I169" s="758"/>
    </row>
    <row r="170" spans="1:9" x14ac:dyDescent="0.25">
      <c r="B170" s="89" t="s">
        <v>52</v>
      </c>
      <c r="C170" s="693" t="s">
        <v>685</v>
      </c>
      <c r="D170" s="694" t="s">
        <v>686</v>
      </c>
      <c r="E170" s="695"/>
      <c r="F170" s="696">
        <v>12</v>
      </c>
      <c r="G170" s="699">
        <v>18454</v>
      </c>
      <c r="H170" s="15">
        <f>+G170*F170</f>
        <v>221448</v>
      </c>
      <c r="I170" s="759"/>
    </row>
    <row r="171" spans="1:9" x14ac:dyDescent="0.25">
      <c r="B171" s="14"/>
      <c r="C171" s="693"/>
      <c r="D171" s="694" t="s">
        <v>687</v>
      </c>
      <c r="E171" s="695"/>
      <c r="F171" s="696"/>
      <c r="G171" s="699"/>
      <c r="H171" s="15">
        <f>+G171*F171</f>
        <v>0</v>
      </c>
      <c r="I171" s="759"/>
    </row>
    <row r="172" spans="1:9" x14ac:dyDescent="0.25">
      <c r="B172" s="14"/>
      <c r="C172" s="693"/>
      <c r="D172" s="694"/>
      <c r="E172" s="695"/>
      <c r="F172" s="696"/>
      <c r="G172" s="699"/>
      <c r="H172" s="15">
        <f>+G172*F172</f>
        <v>0</v>
      </c>
      <c r="I172" s="759"/>
    </row>
    <row r="173" spans="1:9" x14ac:dyDescent="0.25">
      <c r="B173" s="90" t="s">
        <v>576</v>
      </c>
      <c r="C173" s="693"/>
      <c r="D173" s="694"/>
      <c r="E173" s="695"/>
      <c r="F173" s="696"/>
      <c r="G173" s="699"/>
      <c r="H173" s="15">
        <f>SUM(H170:H172)</f>
        <v>221448</v>
      </c>
      <c r="I173" s="765"/>
    </row>
    <row r="174" spans="1:9" x14ac:dyDescent="0.25">
      <c r="B174" s="16"/>
      <c r="C174" s="746"/>
      <c r="D174" s="746"/>
      <c r="E174" s="746"/>
      <c r="F174" s="746"/>
      <c r="G174" s="746"/>
      <c r="H174" s="17"/>
      <c r="I174" s="777"/>
    </row>
    <row r="175" spans="1:9" ht="47.25" x14ac:dyDescent="0.25">
      <c r="B175" s="89" t="s">
        <v>16</v>
      </c>
      <c r="C175" s="693" t="s">
        <v>688</v>
      </c>
      <c r="D175" s="756" t="s">
        <v>689</v>
      </c>
      <c r="E175" s="694" t="s">
        <v>655</v>
      </c>
      <c r="F175" s="696">
        <v>12</v>
      </c>
      <c r="G175" s="699">
        <v>60</v>
      </c>
      <c r="H175" s="15">
        <f>+G175*F175</f>
        <v>720</v>
      </c>
      <c r="I175" s="759"/>
    </row>
    <row r="176" spans="1:9" x14ac:dyDescent="0.25">
      <c r="B176" s="14"/>
      <c r="C176" s="693"/>
      <c r="D176" s="694"/>
      <c r="E176" s="695"/>
      <c r="F176" s="696">
        <v>12</v>
      </c>
      <c r="G176" s="699"/>
      <c r="H176" s="15">
        <f>+G176*F176</f>
        <v>0</v>
      </c>
      <c r="I176" s="759"/>
    </row>
    <row r="177" spans="2:9" x14ac:dyDescent="0.25">
      <c r="B177" s="14"/>
      <c r="C177" s="693"/>
      <c r="D177" s="694"/>
      <c r="E177" s="695"/>
      <c r="F177" s="696"/>
      <c r="G177" s="699"/>
      <c r="H177" s="15">
        <f>+G177*F177</f>
        <v>0</v>
      </c>
      <c r="I177" s="759"/>
    </row>
    <row r="178" spans="2:9" x14ac:dyDescent="0.25">
      <c r="B178" s="90" t="s">
        <v>320</v>
      </c>
      <c r="C178" s="693"/>
      <c r="D178" s="694"/>
      <c r="E178" s="695"/>
      <c r="F178" s="696"/>
      <c r="G178" s="699"/>
      <c r="H178" s="15">
        <f>SUM(H175:H177)</f>
        <v>720</v>
      </c>
      <c r="I178" s="765"/>
    </row>
    <row r="179" spans="2:9" x14ac:dyDescent="0.25">
      <c r="B179" s="16"/>
      <c r="C179" s="746"/>
      <c r="D179" s="746"/>
      <c r="E179" s="746"/>
      <c r="F179" s="746"/>
      <c r="G179" s="746"/>
      <c r="H179" s="17"/>
      <c r="I179" s="777"/>
    </row>
    <row r="180" spans="2:9" x14ac:dyDescent="0.25">
      <c r="B180" s="542" t="s">
        <v>12</v>
      </c>
      <c r="C180" s="716"/>
      <c r="D180" s="717"/>
      <c r="E180" s="716"/>
      <c r="F180" s="718"/>
      <c r="G180" s="719"/>
      <c r="H180" s="556"/>
      <c r="I180" s="764"/>
    </row>
    <row r="181" spans="2:9" x14ac:dyDescent="0.25">
      <c r="B181" s="535"/>
      <c r="C181" s="716"/>
      <c r="D181" s="717"/>
      <c r="E181" s="716"/>
      <c r="F181" s="718"/>
      <c r="G181" s="719"/>
      <c r="H181" s="556"/>
      <c r="I181" s="764"/>
    </row>
    <row r="182" spans="2:9" x14ac:dyDescent="0.25">
      <c r="B182" s="535"/>
      <c r="C182" s="716"/>
      <c r="D182" s="717"/>
      <c r="E182" s="716"/>
      <c r="F182" s="718"/>
      <c r="G182" s="719"/>
      <c r="H182" s="556"/>
      <c r="I182" s="764"/>
    </row>
    <row r="183" spans="2:9" x14ac:dyDescent="0.25">
      <c r="B183" s="521" t="s">
        <v>343</v>
      </c>
      <c r="C183" s="716"/>
      <c r="D183" s="717"/>
      <c r="E183" s="716"/>
      <c r="F183" s="718"/>
      <c r="G183" s="719"/>
      <c r="H183" s="556"/>
      <c r="I183" s="769"/>
    </row>
    <row r="184" spans="2:9" x14ac:dyDescent="0.25">
      <c r="B184" s="16"/>
      <c r="C184" s="746"/>
      <c r="D184" s="746"/>
      <c r="E184" s="746"/>
      <c r="F184" s="746"/>
      <c r="G184" s="746"/>
      <c r="H184" s="17"/>
      <c r="I184" s="777"/>
    </row>
    <row r="185" spans="2:9" x14ac:dyDescent="0.25">
      <c r="B185" s="89" t="s">
        <v>13</v>
      </c>
      <c r="C185" s="693"/>
      <c r="D185" s="694"/>
      <c r="E185" s="695"/>
      <c r="F185" s="696">
        <v>12</v>
      </c>
      <c r="G185" s="699"/>
      <c r="H185" s="15">
        <f>+G185*F185</f>
        <v>0</v>
      </c>
      <c r="I185" s="759"/>
    </row>
    <row r="186" spans="2:9" x14ac:dyDescent="0.25">
      <c r="B186" s="14"/>
      <c r="C186" s="693"/>
      <c r="D186" s="747"/>
      <c r="E186" s="695"/>
      <c r="F186" s="696"/>
      <c r="G186" s="699"/>
      <c r="H186" s="15">
        <f>+G186*F186</f>
        <v>0</v>
      </c>
      <c r="I186" s="759"/>
    </row>
    <row r="187" spans="2:9" x14ac:dyDescent="0.25">
      <c r="B187" s="14"/>
      <c r="C187" s="693"/>
      <c r="D187" s="747"/>
      <c r="E187" s="695"/>
      <c r="F187" s="696"/>
      <c r="G187" s="699"/>
      <c r="H187" s="15">
        <f>+G187*F187</f>
        <v>0</v>
      </c>
      <c r="I187" s="759"/>
    </row>
    <row r="188" spans="2:9" x14ac:dyDescent="0.25">
      <c r="B188" s="90" t="s">
        <v>317</v>
      </c>
      <c r="C188" s="693"/>
      <c r="D188" s="747"/>
      <c r="E188" s="695"/>
      <c r="F188" s="696"/>
      <c r="G188" s="699"/>
      <c r="H188" s="15">
        <f>SUM(H185:H187)</f>
        <v>0</v>
      </c>
      <c r="I188" s="765"/>
    </row>
    <row r="189" spans="2:9" x14ac:dyDescent="0.25">
      <c r="B189" s="16"/>
      <c r="C189" s="746"/>
      <c r="D189" s="748"/>
      <c r="E189" s="746"/>
      <c r="F189" s="746"/>
      <c r="G189" s="746"/>
      <c r="H189" s="17"/>
      <c r="I189" s="777"/>
    </row>
    <row r="190" spans="2:9" x14ac:dyDescent="0.25">
      <c r="B190" s="89" t="s">
        <v>108</v>
      </c>
      <c r="C190" s="693"/>
      <c r="D190" s="747"/>
      <c r="E190" s="695"/>
      <c r="F190" s="696">
        <v>0</v>
      </c>
      <c r="G190" s="699"/>
      <c r="H190" s="15">
        <f>+G190*F190</f>
        <v>0</v>
      </c>
      <c r="I190" s="759"/>
    </row>
    <row r="191" spans="2:9" x14ac:dyDescent="0.25">
      <c r="B191" s="14"/>
      <c r="C191" s="693"/>
      <c r="D191" s="747"/>
      <c r="E191" s="695"/>
      <c r="F191" s="696"/>
      <c r="G191" s="699"/>
      <c r="H191" s="15">
        <f>+G191*F191</f>
        <v>0</v>
      </c>
      <c r="I191" s="759"/>
    </row>
    <row r="192" spans="2:9" x14ac:dyDescent="0.25">
      <c r="B192" s="14"/>
      <c r="C192" s="693"/>
      <c r="D192" s="747"/>
      <c r="E192" s="695"/>
      <c r="F192" s="696"/>
      <c r="G192" s="699"/>
      <c r="H192" s="15">
        <f>+G192*F192</f>
        <v>0</v>
      </c>
      <c r="I192" s="759"/>
    </row>
    <row r="193" spans="2:9" x14ac:dyDescent="0.25">
      <c r="B193" s="90" t="s">
        <v>577</v>
      </c>
      <c r="C193" s="693"/>
      <c r="D193" s="694"/>
      <c r="E193" s="695"/>
      <c r="F193" s="696"/>
      <c r="G193" s="699"/>
      <c r="H193" s="15">
        <f>SUM(H190:H192)</f>
        <v>0</v>
      </c>
      <c r="I193" s="765"/>
    </row>
    <row r="194" spans="2:9" x14ac:dyDescent="0.25">
      <c r="B194" s="16"/>
      <c r="C194" s="746"/>
      <c r="D194" s="746"/>
      <c r="E194" s="746"/>
      <c r="F194" s="746"/>
      <c r="G194" s="746"/>
      <c r="H194" s="17"/>
      <c r="I194" s="777"/>
    </row>
    <row r="195" spans="2:9" x14ac:dyDescent="0.25">
      <c r="B195" s="89" t="s">
        <v>14</v>
      </c>
      <c r="C195" s="693"/>
      <c r="D195" s="694"/>
      <c r="E195" s="695"/>
      <c r="F195" s="696">
        <v>12</v>
      </c>
      <c r="G195" s="699"/>
      <c r="H195" s="15">
        <f>+G195*F195</f>
        <v>0</v>
      </c>
      <c r="I195" s="759"/>
    </row>
    <row r="196" spans="2:9" x14ac:dyDescent="0.25">
      <c r="B196" s="14"/>
      <c r="C196" s="693"/>
      <c r="D196" s="694"/>
      <c r="E196" s="695"/>
      <c r="F196" s="696"/>
      <c r="G196" s="699"/>
      <c r="H196" s="15">
        <f>+G196*F196</f>
        <v>0</v>
      </c>
      <c r="I196" s="759"/>
    </row>
    <row r="197" spans="2:9" x14ac:dyDescent="0.25">
      <c r="B197" s="14"/>
      <c r="C197" s="693"/>
      <c r="D197" s="694"/>
      <c r="E197" s="695"/>
      <c r="F197" s="696"/>
      <c r="G197" s="699"/>
      <c r="H197" s="15">
        <f>+G197*F197</f>
        <v>0</v>
      </c>
      <c r="I197" s="759"/>
    </row>
    <row r="198" spans="2:9" x14ac:dyDescent="0.25">
      <c r="B198" s="90" t="s">
        <v>318</v>
      </c>
      <c r="C198" s="693"/>
      <c r="D198" s="694"/>
      <c r="E198" s="695"/>
      <c r="F198" s="696"/>
      <c r="G198" s="699"/>
      <c r="H198" s="15">
        <f>SUM(H195:H197)</f>
        <v>0</v>
      </c>
      <c r="I198" s="765"/>
    </row>
    <row r="199" spans="2:9" x14ac:dyDescent="0.25">
      <c r="B199" s="16"/>
      <c r="C199" s="746"/>
      <c r="D199" s="746"/>
      <c r="E199" s="746"/>
      <c r="F199" s="746"/>
      <c r="G199" s="746"/>
      <c r="H199" s="17"/>
      <c r="I199" s="777"/>
    </row>
    <row r="200" spans="2:9" x14ac:dyDescent="0.25">
      <c r="B200" s="89" t="s">
        <v>111</v>
      </c>
      <c r="C200" s="693"/>
      <c r="D200" s="694"/>
      <c r="E200" s="695"/>
      <c r="F200" s="696"/>
      <c r="G200" s="699"/>
      <c r="H200" s="15">
        <f>+G200*F200</f>
        <v>0</v>
      </c>
      <c r="I200" s="759"/>
    </row>
    <row r="201" spans="2:9" x14ac:dyDescent="0.25">
      <c r="B201" s="14"/>
      <c r="C201" s="693"/>
      <c r="D201" s="747"/>
      <c r="E201" s="695"/>
      <c r="F201" s="696"/>
      <c r="G201" s="699"/>
      <c r="H201" s="15">
        <f>+G201*F201</f>
        <v>0</v>
      </c>
      <c r="I201" s="759"/>
    </row>
    <row r="202" spans="2:9" x14ac:dyDescent="0.25">
      <c r="B202" s="14"/>
      <c r="C202" s="693"/>
      <c r="D202" s="747"/>
      <c r="E202" s="695"/>
      <c r="F202" s="696"/>
      <c r="G202" s="699"/>
      <c r="H202" s="15">
        <f>+G202*F202</f>
        <v>0</v>
      </c>
      <c r="I202" s="759"/>
    </row>
    <row r="203" spans="2:9" x14ac:dyDescent="0.25">
      <c r="B203" s="90" t="s">
        <v>578</v>
      </c>
      <c r="C203" s="693"/>
      <c r="D203" s="747"/>
      <c r="E203" s="695"/>
      <c r="F203" s="696"/>
      <c r="G203" s="699"/>
      <c r="H203" s="15">
        <f>SUM(H200:H202)</f>
        <v>0</v>
      </c>
      <c r="I203" s="765"/>
    </row>
    <row r="204" spans="2:9" x14ac:dyDescent="0.25">
      <c r="B204" s="16"/>
      <c r="C204" s="746"/>
      <c r="D204" s="748"/>
      <c r="E204" s="746"/>
      <c r="F204" s="746"/>
      <c r="G204" s="746"/>
      <c r="H204" s="17"/>
      <c r="I204" s="777"/>
    </row>
    <row r="205" spans="2:9" x14ac:dyDescent="0.25">
      <c r="B205" s="89" t="s">
        <v>113</v>
      </c>
      <c r="C205" s="693"/>
      <c r="D205" s="747"/>
      <c r="E205" s="695"/>
      <c r="F205" s="696">
        <v>12</v>
      </c>
      <c r="G205" s="699"/>
      <c r="H205" s="15">
        <f>+G205*F205</f>
        <v>0</v>
      </c>
      <c r="I205" s="759"/>
    </row>
    <row r="206" spans="2:9" x14ac:dyDescent="0.25">
      <c r="B206" s="14"/>
      <c r="C206" s="693"/>
      <c r="D206" s="747"/>
      <c r="E206" s="695"/>
      <c r="F206" s="696"/>
      <c r="G206" s="699"/>
      <c r="H206" s="15">
        <f>+G206*F206</f>
        <v>0</v>
      </c>
      <c r="I206" s="759"/>
    </row>
    <row r="207" spans="2:9" x14ac:dyDescent="0.25">
      <c r="B207" s="14"/>
      <c r="C207" s="693"/>
      <c r="D207" s="747"/>
      <c r="E207" s="695"/>
      <c r="F207" s="696"/>
      <c r="G207" s="699"/>
      <c r="H207" s="15">
        <f>+G207*F207</f>
        <v>0</v>
      </c>
      <c r="I207" s="759"/>
    </row>
    <row r="208" spans="2:9" x14ac:dyDescent="0.25">
      <c r="B208" s="90" t="s">
        <v>579</v>
      </c>
      <c r="C208" s="693"/>
      <c r="D208" s="694"/>
      <c r="E208" s="695"/>
      <c r="F208" s="696"/>
      <c r="G208" s="699"/>
      <c r="H208" s="15">
        <f>SUM(H205:H207)</f>
        <v>0</v>
      </c>
      <c r="I208" s="765"/>
    </row>
    <row r="209" spans="2:9" x14ac:dyDescent="0.25">
      <c r="B209" s="16"/>
      <c r="C209" s="746"/>
      <c r="D209" s="746"/>
      <c r="E209" s="746"/>
      <c r="F209" s="746"/>
      <c r="G209" s="746"/>
      <c r="H209" s="17"/>
      <c r="I209" s="777"/>
    </row>
    <row r="210" spans="2:9" x14ac:dyDescent="0.25">
      <c r="B210" s="89" t="s">
        <v>18</v>
      </c>
      <c r="D210" s="694"/>
      <c r="E210" s="695"/>
      <c r="F210" s="696">
        <v>0</v>
      </c>
      <c r="G210" s="699">
        <v>0</v>
      </c>
      <c r="H210" s="15">
        <f>+G210*F210</f>
        <v>0</v>
      </c>
      <c r="I210" s="759"/>
    </row>
    <row r="211" spans="2:9" x14ac:dyDescent="0.25">
      <c r="B211" s="14"/>
      <c r="C211" s="693"/>
      <c r="D211" s="694"/>
      <c r="E211" s="695"/>
      <c r="F211" s="696"/>
      <c r="G211" s="699"/>
      <c r="H211" s="15">
        <f>+G211*F211</f>
        <v>0</v>
      </c>
      <c r="I211" s="759"/>
    </row>
    <row r="212" spans="2:9" x14ac:dyDescent="0.25">
      <c r="B212" s="14"/>
      <c r="C212" s="693"/>
      <c r="D212" s="694"/>
      <c r="E212" s="695"/>
      <c r="F212" s="696"/>
      <c r="G212" s="699"/>
      <c r="H212" s="15">
        <f>+G212*F212</f>
        <v>0</v>
      </c>
      <c r="I212" s="759"/>
    </row>
    <row r="213" spans="2:9" x14ac:dyDescent="0.25">
      <c r="B213" s="90" t="s">
        <v>322</v>
      </c>
      <c r="C213" s="693"/>
      <c r="D213" s="694"/>
      <c r="E213" s="695"/>
      <c r="F213" s="696"/>
      <c r="G213" s="699"/>
      <c r="H213" s="15">
        <f>SUM(H210:H212)</f>
        <v>0</v>
      </c>
      <c r="I213" s="765"/>
    </row>
    <row r="214" spans="2:9" x14ac:dyDescent="0.25">
      <c r="B214" s="16"/>
      <c r="C214" s="746"/>
      <c r="D214" s="746"/>
      <c r="E214" s="746"/>
      <c r="F214" s="746"/>
      <c r="G214" s="746"/>
      <c r="H214" s="17"/>
      <c r="I214" s="777"/>
    </row>
    <row r="215" spans="2:9" x14ac:dyDescent="0.25">
      <c r="B215" s="89" t="s">
        <v>17</v>
      </c>
      <c r="C215" s="693"/>
      <c r="D215" s="694"/>
      <c r="E215" s="695"/>
      <c r="F215" s="696">
        <v>12</v>
      </c>
      <c r="G215" s="699"/>
      <c r="H215" s="15">
        <f>+G215*F215</f>
        <v>0</v>
      </c>
      <c r="I215" s="759"/>
    </row>
    <row r="216" spans="2:9" x14ac:dyDescent="0.25">
      <c r="B216" s="14"/>
      <c r="C216" s="693"/>
      <c r="D216" s="747"/>
      <c r="E216" s="695"/>
      <c r="F216" s="696"/>
      <c r="G216" s="699"/>
      <c r="H216" s="15">
        <f>+G216*F216</f>
        <v>0</v>
      </c>
      <c r="I216" s="759"/>
    </row>
    <row r="217" spans="2:9" x14ac:dyDescent="0.25">
      <c r="B217" s="14"/>
      <c r="C217" s="693"/>
      <c r="D217" s="747"/>
      <c r="E217" s="695"/>
      <c r="F217" s="696"/>
      <c r="G217" s="699"/>
      <c r="H217" s="15">
        <f>+G217*F217</f>
        <v>0</v>
      </c>
      <c r="I217" s="759"/>
    </row>
    <row r="218" spans="2:9" x14ac:dyDescent="0.25">
      <c r="B218" s="90" t="s">
        <v>321</v>
      </c>
      <c r="C218" s="693"/>
      <c r="D218" s="747"/>
      <c r="E218" s="695"/>
      <c r="F218" s="696"/>
      <c r="G218" s="699"/>
      <c r="H218" s="15">
        <f>SUM(H215:H217)</f>
        <v>0</v>
      </c>
      <c r="I218" s="765"/>
    </row>
    <row r="219" spans="2:9" x14ac:dyDescent="0.25">
      <c r="B219" s="16"/>
      <c r="C219" s="746"/>
      <c r="D219" s="748"/>
      <c r="E219" s="746"/>
      <c r="F219" s="746"/>
      <c r="G219" s="746"/>
      <c r="H219" s="17"/>
      <c r="I219" s="777"/>
    </row>
    <row r="220" spans="2:9" x14ac:dyDescent="0.25">
      <c r="B220" s="89" t="s">
        <v>15</v>
      </c>
      <c r="C220" s="693"/>
      <c r="D220" s="747"/>
      <c r="E220" s="695"/>
      <c r="F220" s="696">
        <v>0</v>
      </c>
      <c r="G220" s="699">
        <v>0</v>
      </c>
      <c r="H220" s="15">
        <f>+G220*F220</f>
        <v>0</v>
      </c>
      <c r="I220" s="759"/>
    </row>
    <row r="221" spans="2:9" x14ac:dyDescent="0.25">
      <c r="B221" s="14"/>
      <c r="C221" s="693"/>
      <c r="D221" s="747"/>
      <c r="E221" s="695"/>
      <c r="F221" s="696"/>
      <c r="G221" s="699"/>
      <c r="H221" s="15">
        <f>+G221*F221</f>
        <v>0</v>
      </c>
      <c r="I221" s="759"/>
    </row>
    <row r="222" spans="2:9" x14ac:dyDescent="0.25">
      <c r="B222" s="14"/>
      <c r="C222" s="693"/>
      <c r="D222" s="747"/>
      <c r="E222" s="695"/>
      <c r="F222" s="696"/>
      <c r="G222" s="699"/>
      <c r="H222" s="15">
        <f>+G222*F222</f>
        <v>0</v>
      </c>
      <c r="I222" s="759"/>
    </row>
    <row r="223" spans="2:9" x14ac:dyDescent="0.25">
      <c r="B223" s="90" t="s">
        <v>319</v>
      </c>
      <c r="C223" s="693"/>
      <c r="D223" s="694"/>
      <c r="E223" s="695"/>
      <c r="F223" s="696"/>
      <c r="G223" s="699"/>
      <c r="H223" s="15">
        <f>SUM(H220:H222)</f>
        <v>0</v>
      </c>
      <c r="I223" s="765"/>
    </row>
    <row r="224" spans="2:9" x14ac:dyDescent="0.25">
      <c r="B224" s="16"/>
      <c r="C224" s="746"/>
      <c r="D224" s="746"/>
      <c r="E224" s="746"/>
      <c r="F224" s="746"/>
      <c r="G224" s="746"/>
      <c r="H224" s="17"/>
      <c r="I224" s="777"/>
    </row>
    <row r="225" spans="1:9" x14ac:dyDescent="0.25">
      <c r="B225" s="89" t="s">
        <v>580</v>
      </c>
      <c r="C225" s="693"/>
      <c r="D225" s="694"/>
      <c r="E225" s="695"/>
      <c r="F225" s="696">
        <v>0</v>
      </c>
      <c r="G225" s="699">
        <v>0</v>
      </c>
      <c r="H225" s="15">
        <f>+G225*F225</f>
        <v>0</v>
      </c>
      <c r="I225" s="759"/>
    </row>
    <row r="226" spans="1:9" x14ac:dyDescent="0.25">
      <c r="B226" s="14"/>
      <c r="C226" s="693"/>
      <c r="D226" s="694"/>
      <c r="E226" s="695"/>
      <c r="F226" s="696"/>
      <c r="G226" s="699"/>
      <c r="H226" s="15">
        <f>+G226*F226</f>
        <v>0</v>
      </c>
      <c r="I226" s="759"/>
    </row>
    <row r="227" spans="1:9" x14ac:dyDescent="0.25">
      <c r="B227" s="14"/>
      <c r="C227" s="693"/>
      <c r="D227" s="694"/>
      <c r="E227" s="695"/>
      <c r="F227" s="696"/>
      <c r="G227" s="699"/>
      <c r="H227" s="15">
        <f>+G227*F227</f>
        <v>0</v>
      </c>
      <c r="I227" s="759"/>
    </row>
    <row r="228" spans="1:9" x14ac:dyDescent="0.25">
      <c r="B228" s="90" t="s">
        <v>581</v>
      </c>
      <c r="C228" s="693"/>
      <c r="D228" s="694"/>
      <c r="E228" s="695"/>
      <c r="F228" s="696"/>
      <c r="G228" s="699"/>
      <c r="H228" s="15">
        <f>SUM(H225:H227)</f>
        <v>0</v>
      </c>
      <c r="I228" s="765"/>
    </row>
    <row r="229" spans="1:9" x14ac:dyDescent="0.25">
      <c r="B229" s="16"/>
      <c r="C229" s="746"/>
      <c r="D229" s="746"/>
      <c r="E229" s="746"/>
      <c r="F229" s="746"/>
      <c r="G229" s="746"/>
      <c r="H229" s="17"/>
      <c r="I229" s="777"/>
    </row>
    <row r="230" spans="1:9" x14ac:dyDescent="0.25">
      <c r="B230" s="18"/>
      <c r="C230" s="700"/>
      <c r="D230" s="700"/>
      <c r="E230" s="700"/>
      <c r="F230" s="700"/>
      <c r="G230" s="700"/>
      <c r="H230" s="19"/>
      <c r="I230" s="700"/>
    </row>
    <row r="231" spans="1:9" x14ac:dyDescent="0.25">
      <c r="B231" s="18"/>
      <c r="C231" s="700"/>
      <c r="D231" s="700"/>
      <c r="E231" s="700"/>
      <c r="F231" s="700"/>
      <c r="G231" s="700"/>
      <c r="H231" s="19"/>
      <c r="I231" s="700"/>
    </row>
    <row r="232" spans="1:9" ht="16.5" thickBot="1" x14ac:dyDescent="0.3">
      <c r="B232" s="18"/>
      <c r="C232" s="700"/>
      <c r="D232" s="700"/>
      <c r="E232" s="700"/>
      <c r="F232" s="700"/>
      <c r="G232" s="700"/>
      <c r="H232" s="19"/>
      <c r="I232" s="700"/>
    </row>
    <row r="233" spans="1:9" ht="32.25" thickTop="1" x14ac:dyDescent="0.25">
      <c r="A233" s="11" t="s">
        <v>298</v>
      </c>
      <c r="B233" s="11" t="s">
        <v>168</v>
      </c>
      <c r="C233" s="745" t="s">
        <v>116</v>
      </c>
      <c r="D233" s="702" t="s">
        <v>117</v>
      </c>
      <c r="E233" s="702" t="s">
        <v>118</v>
      </c>
      <c r="F233" s="702"/>
      <c r="G233" s="702" t="s">
        <v>120</v>
      </c>
      <c r="H233" s="20" t="s">
        <v>126</v>
      </c>
      <c r="I233" s="760" t="s">
        <v>122</v>
      </c>
    </row>
    <row r="234" spans="1:9" x14ac:dyDescent="0.25">
      <c r="A234" s="3" t="s">
        <v>127</v>
      </c>
      <c r="B234" s="3"/>
      <c r="C234" s="691"/>
      <c r="D234" s="692"/>
      <c r="E234" s="692"/>
      <c r="F234" s="692"/>
      <c r="G234" s="692"/>
      <c r="H234" s="13"/>
      <c r="I234" s="758"/>
    </row>
    <row r="235" spans="1:9" x14ac:dyDescent="0.25">
      <c r="B235" s="89" t="s">
        <v>76</v>
      </c>
      <c r="C235" s="694" t="s">
        <v>662</v>
      </c>
      <c r="D235" s="756" t="s">
        <v>668</v>
      </c>
      <c r="E235" s="695"/>
      <c r="F235" s="696">
        <v>12</v>
      </c>
      <c r="G235" s="699">
        <v>50</v>
      </c>
      <c r="H235" s="15">
        <f>+G235*F235</f>
        <v>600</v>
      </c>
      <c r="I235" s="759"/>
    </row>
    <row r="236" spans="1:9" x14ac:dyDescent="0.25">
      <c r="B236" s="14"/>
      <c r="C236" s="693" t="s">
        <v>346</v>
      </c>
      <c r="D236" s="694"/>
      <c r="E236" s="695"/>
      <c r="F236" s="696">
        <v>0</v>
      </c>
      <c r="G236" s="699">
        <v>0</v>
      </c>
      <c r="H236" s="15">
        <f>+G236*F236</f>
        <v>0</v>
      </c>
      <c r="I236" s="759"/>
    </row>
    <row r="237" spans="1:9" x14ac:dyDescent="0.25">
      <c r="B237" s="14"/>
      <c r="C237" s="693" t="s">
        <v>346</v>
      </c>
      <c r="D237" s="694"/>
      <c r="E237" s="695"/>
      <c r="F237" s="696">
        <v>0</v>
      </c>
      <c r="G237" s="699">
        <v>0</v>
      </c>
      <c r="H237" s="15">
        <f>+G237*F237</f>
        <v>0</v>
      </c>
      <c r="I237" s="759"/>
    </row>
    <row r="238" spans="1:9" x14ac:dyDescent="0.25">
      <c r="B238" s="90" t="s">
        <v>333</v>
      </c>
      <c r="C238" s="693"/>
      <c r="D238" s="694"/>
      <c r="E238" s="695"/>
      <c r="F238" s="696"/>
      <c r="G238" s="699"/>
      <c r="H238" s="15">
        <f>SUM(H235:H237)</f>
        <v>600</v>
      </c>
      <c r="I238" s="765"/>
    </row>
    <row r="239" spans="1:9" x14ac:dyDescent="0.25">
      <c r="B239" s="16"/>
      <c r="C239" s="746"/>
      <c r="D239" s="746"/>
      <c r="E239" s="746"/>
      <c r="F239" s="746"/>
      <c r="G239" s="746"/>
      <c r="H239" s="17"/>
      <c r="I239" s="777"/>
    </row>
    <row r="240" spans="1:9" x14ac:dyDescent="0.25">
      <c r="B240" s="89" t="s">
        <v>23</v>
      </c>
      <c r="C240" s="693"/>
      <c r="D240" s="694"/>
      <c r="E240" s="695"/>
      <c r="F240" s="696"/>
      <c r="G240" s="699"/>
      <c r="H240" s="15">
        <f>+G240*F240</f>
        <v>0</v>
      </c>
      <c r="I240" s="759"/>
    </row>
    <row r="241" spans="2:9" x14ac:dyDescent="0.25">
      <c r="B241" s="14"/>
      <c r="C241" s="693"/>
      <c r="D241" s="694"/>
      <c r="E241" s="695"/>
      <c r="F241" s="696"/>
      <c r="G241" s="699"/>
      <c r="H241" s="15">
        <f>+G241*F241</f>
        <v>0</v>
      </c>
      <c r="I241" s="759"/>
    </row>
    <row r="242" spans="2:9" x14ac:dyDescent="0.25">
      <c r="B242" s="14"/>
      <c r="C242" s="693"/>
      <c r="D242" s="694"/>
      <c r="E242" s="695"/>
      <c r="F242" s="696"/>
      <c r="G242" s="699"/>
      <c r="H242" s="15">
        <f>+G242*F242</f>
        <v>0</v>
      </c>
      <c r="I242" s="759"/>
    </row>
    <row r="243" spans="2:9" x14ac:dyDescent="0.25">
      <c r="B243" s="90" t="s">
        <v>326</v>
      </c>
      <c r="C243" s="693"/>
      <c r="D243" s="694"/>
      <c r="E243" s="695"/>
      <c r="F243" s="696"/>
      <c r="G243" s="699"/>
      <c r="H243" s="15">
        <f>SUM(H240:H242)</f>
        <v>0</v>
      </c>
      <c r="I243" s="765"/>
    </row>
    <row r="244" spans="2:9" x14ac:dyDescent="0.25">
      <c r="B244" s="16"/>
      <c r="C244" s="746"/>
      <c r="D244" s="746"/>
      <c r="E244" s="746"/>
      <c r="F244" s="746"/>
      <c r="G244" s="746"/>
      <c r="H244" s="17"/>
      <c r="I244" s="777"/>
    </row>
    <row r="245" spans="2:9" x14ac:dyDescent="0.25">
      <c r="B245" s="89" t="s">
        <v>24</v>
      </c>
      <c r="C245" s="693" t="s">
        <v>690</v>
      </c>
      <c r="D245" s="694" t="s">
        <v>668</v>
      </c>
      <c r="E245" s="695"/>
      <c r="F245" s="696">
        <v>12</v>
      </c>
      <c r="G245" s="699">
        <v>200</v>
      </c>
      <c r="H245" s="224">
        <f>+G245*F245</f>
        <v>2400</v>
      </c>
      <c r="I245" s="759"/>
    </row>
    <row r="246" spans="2:9" x14ac:dyDescent="0.25">
      <c r="B246" s="14"/>
      <c r="C246" s="693" t="s">
        <v>691</v>
      </c>
      <c r="D246" s="694"/>
      <c r="E246" s="695"/>
      <c r="F246" s="696"/>
      <c r="G246" s="699"/>
      <c r="H246" s="224">
        <f>+G246*F246</f>
        <v>0</v>
      </c>
      <c r="I246" s="759"/>
    </row>
    <row r="247" spans="2:9" x14ac:dyDescent="0.25">
      <c r="B247" s="14"/>
      <c r="C247" s="693"/>
      <c r="D247" s="694"/>
      <c r="E247" s="695"/>
      <c r="F247" s="696"/>
      <c r="G247" s="699"/>
      <c r="H247" s="224">
        <f>+G247*F247</f>
        <v>0</v>
      </c>
      <c r="I247" s="759"/>
    </row>
    <row r="248" spans="2:9" x14ac:dyDescent="0.25">
      <c r="B248" s="14"/>
      <c r="C248" s="693"/>
      <c r="D248" s="694"/>
      <c r="E248" s="695"/>
      <c r="F248" s="696"/>
      <c r="G248" s="699"/>
      <c r="H248" s="224">
        <f>+G248*F248</f>
        <v>0</v>
      </c>
      <c r="I248" s="759"/>
    </row>
    <row r="249" spans="2:9" x14ac:dyDescent="0.25">
      <c r="B249" s="93" t="s">
        <v>327</v>
      </c>
      <c r="C249" s="693"/>
      <c r="D249" s="694"/>
      <c r="E249" s="695"/>
      <c r="F249" s="696"/>
      <c r="G249" s="699"/>
      <c r="H249" s="224">
        <f>SUM(H245:H248)</f>
        <v>2400</v>
      </c>
      <c r="I249" s="765"/>
    </row>
    <row r="250" spans="2:9" x14ac:dyDescent="0.25">
      <c r="B250" s="16"/>
      <c r="C250" s="746"/>
      <c r="D250" s="746"/>
      <c r="E250" s="746"/>
      <c r="F250" s="746"/>
      <c r="G250" s="746"/>
      <c r="H250" s="17"/>
      <c r="I250" s="777"/>
    </row>
    <row r="251" spans="2:9" x14ac:dyDescent="0.25">
      <c r="B251" s="89" t="s">
        <v>23</v>
      </c>
      <c r="C251" s="693" t="s">
        <v>692</v>
      </c>
      <c r="D251" s="694" t="s">
        <v>668</v>
      </c>
      <c r="E251" s="695"/>
      <c r="F251" s="696">
        <v>12</v>
      </c>
      <c r="G251" s="699">
        <v>50</v>
      </c>
      <c r="H251" s="15">
        <f>+G251*F251</f>
        <v>600</v>
      </c>
      <c r="I251" s="759"/>
    </row>
    <row r="252" spans="2:9" x14ac:dyDescent="0.25">
      <c r="B252" s="14"/>
      <c r="C252" s="693"/>
      <c r="D252" s="694"/>
      <c r="E252" s="695"/>
      <c r="F252" s="696"/>
      <c r="G252" s="699"/>
      <c r="H252" s="15">
        <f>+G252*F252</f>
        <v>0</v>
      </c>
      <c r="I252" s="759"/>
    </row>
    <row r="253" spans="2:9" x14ac:dyDescent="0.25">
      <c r="B253" s="14"/>
      <c r="C253" s="693"/>
      <c r="D253" s="694"/>
      <c r="E253" s="695"/>
      <c r="F253" s="696"/>
      <c r="G253" s="699"/>
      <c r="H253" s="15">
        <f>+G253*F253</f>
        <v>0</v>
      </c>
      <c r="I253" s="759"/>
    </row>
    <row r="254" spans="2:9" x14ac:dyDescent="0.25">
      <c r="B254" s="93" t="s">
        <v>326</v>
      </c>
      <c r="C254" s="693"/>
      <c r="D254" s="694"/>
      <c r="E254" s="695"/>
      <c r="F254" s="696"/>
      <c r="G254" s="699"/>
      <c r="H254" s="15">
        <f>SUM(H251:H253)</f>
        <v>600</v>
      </c>
      <c r="I254" s="765"/>
    </row>
    <row r="255" spans="2:9" x14ac:dyDescent="0.25">
      <c r="B255" s="16"/>
      <c r="C255" s="746"/>
      <c r="D255" s="746"/>
      <c r="E255" s="746"/>
      <c r="F255" s="746"/>
      <c r="G255" s="746"/>
      <c r="H255" s="17"/>
      <c r="I255" s="777"/>
    </row>
    <row r="256" spans="2:9" x14ac:dyDescent="0.25">
      <c r="B256" s="89" t="s">
        <v>25</v>
      </c>
      <c r="C256" s="693"/>
      <c r="D256" s="694"/>
      <c r="E256" s="695"/>
      <c r="F256" s="696">
        <v>1</v>
      </c>
      <c r="G256" s="699"/>
      <c r="H256" s="15">
        <f>+G256*F256</f>
        <v>0</v>
      </c>
      <c r="I256" s="759"/>
    </row>
    <row r="257" spans="2:9" x14ac:dyDescent="0.25">
      <c r="B257" s="14"/>
      <c r="C257" s="693"/>
      <c r="D257" s="694"/>
      <c r="E257" s="695"/>
      <c r="F257" s="696"/>
      <c r="G257" s="699"/>
      <c r="H257" s="15">
        <f>+G257*F257</f>
        <v>0</v>
      </c>
      <c r="I257" s="759"/>
    </row>
    <row r="258" spans="2:9" x14ac:dyDescent="0.25">
      <c r="B258" s="14"/>
      <c r="C258" s="693"/>
      <c r="D258" s="694"/>
      <c r="E258" s="695"/>
      <c r="F258" s="696"/>
      <c r="G258" s="699"/>
      <c r="H258" s="15">
        <f>+G258*F258</f>
        <v>0</v>
      </c>
      <c r="I258" s="759"/>
    </row>
    <row r="259" spans="2:9" x14ac:dyDescent="0.25">
      <c r="B259" s="93" t="s">
        <v>328</v>
      </c>
      <c r="C259" s="693"/>
      <c r="D259" s="694"/>
      <c r="E259" s="695"/>
      <c r="F259" s="696"/>
      <c r="G259" s="699"/>
      <c r="H259" s="15">
        <f>SUM(H256:H258)</f>
        <v>0</v>
      </c>
      <c r="I259" s="765"/>
    </row>
    <row r="260" spans="2:9" x14ac:dyDescent="0.25">
      <c r="B260" s="16"/>
      <c r="C260" s="746"/>
      <c r="D260" s="746"/>
      <c r="E260" s="746"/>
      <c r="F260" s="746"/>
      <c r="G260" s="746"/>
      <c r="H260" s="17"/>
      <c r="I260" s="777"/>
    </row>
    <row r="261" spans="2:9" x14ac:dyDescent="0.25">
      <c r="B261" s="89" t="s">
        <v>112</v>
      </c>
      <c r="C261" s="693"/>
      <c r="D261" s="694"/>
      <c r="E261" s="695"/>
      <c r="F261" s="696">
        <v>12</v>
      </c>
      <c r="G261" s="699"/>
      <c r="H261" s="15">
        <f>+G261*F261</f>
        <v>0</v>
      </c>
      <c r="I261" s="759"/>
    </row>
    <row r="262" spans="2:9" x14ac:dyDescent="0.25">
      <c r="B262" s="14"/>
      <c r="C262" s="693"/>
      <c r="D262" s="694"/>
      <c r="E262" s="695"/>
      <c r="F262" s="696"/>
      <c r="G262" s="699"/>
      <c r="H262" s="15">
        <f>+G262*F262</f>
        <v>0</v>
      </c>
      <c r="I262" s="759"/>
    </row>
    <row r="263" spans="2:9" x14ac:dyDescent="0.25">
      <c r="B263" s="14"/>
      <c r="C263" s="693"/>
      <c r="D263" s="694"/>
      <c r="E263" s="695"/>
      <c r="F263" s="696"/>
      <c r="G263" s="699"/>
      <c r="H263" s="15">
        <f>+G263*F263</f>
        <v>0</v>
      </c>
      <c r="I263" s="759"/>
    </row>
    <row r="264" spans="2:9" x14ac:dyDescent="0.25">
      <c r="B264" s="93" t="s">
        <v>582</v>
      </c>
      <c r="C264" s="693"/>
      <c r="D264" s="694"/>
      <c r="E264" s="695"/>
      <c r="F264" s="696"/>
      <c r="G264" s="699"/>
      <c r="H264" s="15">
        <f>SUM(H261:H263)</f>
        <v>0</v>
      </c>
      <c r="I264" s="765"/>
    </row>
    <row r="265" spans="2:9" x14ac:dyDescent="0.25">
      <c r="B265" s="16"/>
      <c r="C265" s="746"/>
      <c r="D265" s="746"/>
      <c r="E265" s="746"/>
      <c r="F265" s="746"/>
      <c r="G265" s="746">
        <v>0</v>
      </c>
      <c r="H265" s="17"/>
      <c r="I265" s="777"/>
    </row>
    <row r="266" spans="2:9" x14ac:dyDescent="0.25">
      <c r="B266" s="89" t="s">
        <v>106</v>
      </c>
      <c r="C266" s="693"/>
      <c r="D266" s="694"/>
      <c r="E266" s="695"/>
      <c r="F266" s="696">
        <v>0</v>
      </c>
      <c r="G266" s="699"/>
      <c r="H266" s="15">
        <f>+G266*F266</f>
        <v>0</v>
      </c>
      <c r="I266" s="759"/>
    </row>
    <row r="267" spans="2:9" x14ac:dyDescent="0.25">
      <c r="B267" s="14"/>
      <c r="C267" s="693"/>
      <c r="D267" s="694"/>
      <c r="E267" s="695"/>
      <c r="F267" s="696"/>
      <c r="G267" s="699"/>
      <c r="H267" s="15">
        <f>+G267*F267</f>
        <v>0</v>
      </c>
      <c r="I267" s="759"/>
    </row>
    <row r="268" spans="2:9" x14ac:dyDescent="0.25">
      <c r="B268" s="14"/>
      <c r="C268" s="693"/>
      <c r="D268" s="694"/>
      <c r="E268" s="695"/>
      <c r="F268" s="696"/>
      <c r="G268" s="699"/>
      <c r="H268" s="15">
        <f>+G268*F268</f>
        <v>0</v>
      </c>
      <c r="I268" s="759"/>
    </row>
    <row r="269" spans="2:9" x14ac:dyDescent="0.25">
      <c r="B269" s="93" t="s">
        <v>334</v>
      </c>
      <c r="C269" s="693"/>
      <c r="D269" s="694"/>
      <c r="E269" s="695"/>
      <c r="F269" s="696"/>
      <c r="G269" s="699"/>
      <c r="H269" s="15">
        <f>SUM(H266:H268)</f>
        <v>0</v>
      </c>
      <c r="I269" s="765"/>
    </row>
    <row r="270" spans="2:9" x14ac:dyDescent="0.25">
      <c r="B270" s="16"/>
      <c r="C270" s="746"/>
      <c r="D270" s="746"/>
      <c r="E270" s="746"/>
      <c r="F270" s="746"/>
      <c r="G270" s="746"/>
      <c r="H270" s="17"/>
      <c r="I270" s="777"/>
    </row>
    <row r="271" spans="2:9" x14ac:dyDescent="0.25">
      <c r="B271" s="89" t="s">
        <v>34</v>
      </c>
      <c r="C271" s="693"/>
      <c r="D271" s="694"/>
      <c r="E271" s="695"/>
      <c r="F271" s="696">
        <v>1</v>
      </c>
      <c r="G271" s="699"/>
      <c r="H271" s="15">
        <f>+G271*F271</f>
        <v>0</v>
      </c>
      <c r="I271" s="759"/>
    </row>
    <row r="272" spans="2:9" x14ac:dyDescent="0.25">
      <c r="B272" s="14"/>
      <c r="C272" s="693"/>
      <c r="D272" s="747"/>
      <c r="E272" s="695"/>
      <c r="F272" s="696"/>
      <c r="G272" s="699"/>
      <c r="H272" s="15">
        <f>+G272*F272</f>
        <v>0</v>
      </c>
      <c r="I272" s="759"/>
    </row>
    <row r="273" spans="2:9" x14ac:dyDescent="0.25">
      <c r="B273" s="14"/>
      <c r="C273" s="693"/>
      <c r="D273" s="694"/>
      <c r="E273" s="695"/>
      <c r="F273" s="696"/>
      <c r="G273" s="699"/>
      <c r="H273" s="15">
        <f>+G273*F273</f>
        <v>0</v>
      </c>
      <c r="I273" s="759"/>
    </row>
    <row r="274" spans="2:9" x14ac:dyDescent="0.25">
      <c r="B274" s="93" t="s">
        <v>583</v>
      </c>
      <c r="C274" s="693"/>
      <c r="D274" s="747"/>
      <c r="E274" s="695"/>
      <c r="F274" s="696"/>
      <c r="G274" s="699"/>
      <c r="H274" s="15">
        <f>SUM(H271:H273)</f>
        <v>0</v>
      </c>
      <c r="I274" s="765"/>
    </row>
    <row r="275" spans="2:9" x14ac:dyDescent="0.25">
      <c r="B275" s="16"/>
      <c r="C275" s="746"/>
      <c r="D275" s="748"/>
      <c r="E275" s="746"/>
      <c r="F275" s="746"/>
      <c r="G275" s="746"/>
      <c r="H275" s="17"/>
      <c r="I275" s="777"/>
    </row>
    <row r="276" spans="2:9" x14ac:dyDescent="0.25">
      <c r="B276" s="89" t="s">
        <v>51</v>
      </c>
      <c r="C276" s="693"/>
      <c r="D276" s="747"/>
      <c r="E276" s="695"/>
      <c r="F276" s="696"/>
      <c r="G276" s="699"/>
      <c r="H276" s="15">
        <f>+G276*F276</f>
        <v>0</v>
      </c>
      <c r="I276" s="759"/>
    </row>
    <row r="277" spans="2:9" x14ac:dyDescent="0.25">
      <c r="B277" s="14"/>
      <c r="C277" s="693"/>
      <c r="D277" s="747"/>
      <c r="E277" s="695"/>
      <c r="F277" s="696"/>
      <c r="G277" s="699"/>
      <c r="H277" s="15">
        <f>+G277*F277</f>
        <v>0</v>
      </c>
      <c r="I277" s="759"/>
    </row>
    <row r="278" spans="2:9" x14ac:dyDescent="0.25">
      <c r="B278" s="14"/>
      <c r="C278" s="693"/>
      <c r="D278" s="747"/>
      <c r="E278" s="695"/>
      <c r="F278" s="696"/>
      <c r="G278" s="699"/>
      <c r="H278" s="15">
        <f>+G278*F278</f>
        <v>0</v>
      </c>
      <c r="I278" s="759"/>
    </row>
    <row r="279" spans="2:9" x14ac:dyDescent="0.25">
      <c r="B279" s="93" t="s">
        <v>324</v>
      </c>
      <c r="C279" s="693"/>
      <c r="D279" s="694"/>
      <c r="E279" s="695"/>
      <c r="F279" s="696"/>
      <c r="G279" s="699"/>
      <c r="H279" s="15">
        <f>SUM(H276:H278)</f>
        <v>0</v>
      </c>
      <c r="I279" s="765"/>
    </row>
    <row r="280" spans="2:9" x14ac:dyDescent="0.25">
      <c r="B280" s="16"/>
      <c r="C280" s="746"/>
      <c r="D280" s="746"/>
      <c r="E280" s="746"/>
      <c r="F280" s="746"/>
      <c r="G280" s="746"/>
      <c r="H280" s="17"/>
      <c r="I280" s="777"/>
    </row>
    <row r="281" spans="2:9" x14ac:dyDescent="0.25">
      <c r="B281" s="89" t="s">
        <v>30</v>
      </c>
      <c r="C281" s="693"/>
      <c r="D281" s="694"/>
      <c r="E281" s="695"/>
      <c r="F281" s="696">
        <v>8</v>
      </c>
      <c r="G281" s="699"/>
      <c r="H281" s="15">
        <f>+G281*F281</f>
        <v>0</v>
      </c>
      <c r="I281" s="759"/>
    </row>
    <row r="282" spans="2:9" x14ac:dyDescent="0.25">
      <c r="B282" s="14"/>
      <c r="C282" s="693"/>
      <c r="D282" s="694"/>
      <c r="E282" s="695"/>
      <c r="F282" s="696"/>
      <c r="G282" s="699"/>
      <c r="H282" s="15">
        <f>+G282*F282</f>
        <v>0</v>
      </c>
      <c r="I282" s="759"/>
    </row>
    <row r="283" spans="2:9" x14ac:dyDescent="0.25">
      <c r="B283" s="14"/>
      <c r="C283" s="693"/>
      <c r="D283" s="694"/>
      <c r="E283" s="695"/>
      <c r="F283" s="696"/>
      <c r="G283" s="699"/>
      <c r="H283" s="15">
        <f>+G283*F283</f>
        <v>0</v>
      </c>
      <c r="I283" s="759"/>
    </row>
    <row r="284" spans="2:9" x14ac:dyDescent="0.25">
      <c r="B284" s="93" t="s">
        <v>332</v>
      </c>
      <c r="C284" s="693"/>
      <c r="D284" s="694"/>
      <c r="E284" s="695"/>
      <c r="F284" s="696"/>
      <c r="G284" s="699"/>
      <c r="H284" s="15">
        <f>SUM(H281:H283)</f>
        <v>0</v>
      </c>
      <c r="I284" s="765"/>
    </row>
    <row r="285" spans="2:9" x14ac:dyDescent="0.25">
      <c r="B285" s="16"/>
      <c r="C285" s="746"/>
      <c r="D285" s="746"/>
      <c r="E285" s="746"/>
      <c r="F285" s="746"/>
      <c r="G285" s="746"/>
      <c r="H285" s="17"/>
      <c r="I285" s="777"/>
    </row>
    <row r="286" spans="2:9" x14ac:dyDescent="0.25">
      <c r="B286" s="89" t="s">
        <v>69</v>
      </c>
      <c r="C286" s="693"/>
      <c r="D286" s="694"/>
      <c r="E286" s="695"/>
      <c r="F286" s="696">
        <v>4</v>
      </c>
      <c r="G286" s="699"/>
      <c r="H286" s="15">
        <f>+G286*F286</f>
        <v>0</v>
      </c>
      <c r="I286" s="759"/>
    </row>
    <row r="287" spans="2:9" x14ac:dyDescent="0.25">
      <c r="B287" s="14"/>
      <c r="C287" s="693"/>
      <c r="D287" s="747"/>
      <c r="E287" s="695"/>
      <c r="F287" s="696"/>
      <c r="G287" s="699"/>
      <c r="H287" s="15">
        <f>+G287*F287</f>
        <v>0</v>
      </c>
      <c r="I287" s="759"/>
    </row>
    <row r="288" spans="2:9" x14ac:dyDescent="0.25">
      <c r="B288" s="14"/>
      <c r="C288" s="693"/>
      <c r="D288" s="694"/>
      <c r="E288" s="695"/>
      <c r="F288" s="696"/>
      <c r="G288" s="699"/>
      <c r="H288" s="15">
        <f>+G288*F288</f>
        <v>0</v>
      </c>
      <c r="I288" s="759"/>
    </row>
    <row r="289" spans="2:9" x14ac:dyDescent="0.25">
      <c r="B289" s="93" t="s">
        <v>338</v>
      </c>
      <c r="C289" s="693"/>
      <c r="D289" s="694"/>
      <c r="E289" s="695"/>
      <c r="F289" s="696"/>
      <c r="G289" s="699"/>
      <c r="H289" s="15">
        <f>SUM(H286:H288)</f>
        <v>0</v>
      </c>
      <c r="I289" s="765"/>
    </row>
    <row r="290" spans="2:9" x14ac:dyDescent="0.25">
      <c r="B290" s="16"/>
      <c r="C290" s="746"/>
      <c r="D290" s="746"/>
      <c r="E290" s="746"/>
      <c r="F290" s="746"/>
      <c r="G290" s="746"/>
      <c r="H290" s="17"/>
      <c r="I290" s="777"/>
    </row>
    <row r="291" spans="2:9" x14ac:dyDescent="0.25">
      <c r="B291" s="89" t="s">
        <v>70</v>
      </c>
      <c r="C291" s="694" t="s">
        <v>693</v>
      </c>
      <c r="D291" s="756" t="s">
        <v>668</v>
      </c>
      <c r="E291" s="695" t="s">
        <v>694</v>
      </c>
      <c r="F291" s="696">
        <v>12</v>
      </c>
      <c r="G291" s="699">
        <v>25</v>
      </c>
      <c r="H291" s="15">
        <f>+G291*F291</f>
        <v>300</v>
      </c>
      <c r="I291" s="759"/>
    </row>
    <row r="292" spans="2:9" x14ac:dyDescent="0.25">
      <c r="B292" s="14"/>
      <c r="C292" s="693"/>
      <c r="D292" s="694"/>
      <c r="E292" s="695"/>
      <c r="F292" s="696"/>
      <c r="G292" s="699"/>
      <c r="H292" s="15">
        <f>+G292*F292</f>
        <v>0</v>
      </c>
      <c r="I292" s="759"/>
    </row>
    <row r="293" spans="2:9" x14ac:dyDescent="0.25">
      <c r="B293" s="14"/>
      <c r="C293" s="693"/>
      <c r="D293" s="694"/>
      <c r="E293" s="695"/>
      <c r="F293" s="696"/>
      <c r="G293" s="699"/>
      <c r="H293" s="15">
        <f>+G293*F293</f>
        <v>0</v>
      </c>
      <c r="I293" s="759"/>
    </row>
    <row r="294" spans="2:9" x14ac:dyDescent="0.25">
      <c r="B294" s="93" t="s">
        <v>339</v>
      </c>
      <c r="C294" s="693"/>
      <c r="D294" s="694"/>
      <c r="E294" s="695"/>
      <c r="F294" s="696"/>
      <c r="G294" s="699"/>
      <c r="H294" s="15">
        <f>SUM(H291:H293)</f>
        <v>300</v>
      </c>
      <c r="I294" s="765"/>
    </row>
    <row r="295" spans="2:9" x14ac:dyDescent="0.25">
      <c r="B295" s="16"/>
      <c r="C295" s="746"/>
      <c r="D295" s="746"/>
      <c r="E295" s="746"/>
      <c r="F295" s="746"/>
      <c r="G295" s="746"/>
      <c r="H295" s="17"/>
      <c r="I295" s="777"/>
    </row>
    <row r="296" spans="2:9" x14ac:dyDescent="0.25">
      <c r="B296" s="89" t="s">
        <v>27</v>
      </c>
      <c r="C296" s="693"/>
      <c r="D296" s="694"/>
      <c r="E296" s="695"/>
      <c r="F296" s="696">
        <v>8</v>
      </c>
      <c r="G296" s="699"/>
      <c r="H296" s="15">
        <f>+G296*F296</f>
        <v>0</v>
      </c>
      <c r="I296" s="759"/>
    </row>
    <row r="297" spans="2:9" x14ac:dyDescent="0.25">
      <c r="B297" s="14"/>
      <c r="C297" s="693"/>
      <c r="D297" s="694"/>
      <c r="E297" s="695"/>
      <c r="F297" s="696"/>
      <c r="G297" s="699"/>
      <c r="H297" s="15">
        <f>+G297*F297</f>
        <v>0</v>
      </c>
      <c r="I297" s="759"/>
    </row>
    <row r="298" spans="2:9" x14ac:dyDescent="0.25">
      <c r="B298" s="14"/>
      <c r="C298" s="693"/>
      <c r="D298" s="694"/>
      <c r="E298" s="695"/>
      <c r="F298" s="696"/>
      <c r="G298" s="699"/>
      <c r="H298" s="15">
        <f>+G298*F298</f>
        <v>0</v>
      </c>
      <c r="I298" s="759"/>
    </row>
    <row r="299" spans="2:9" x14ac:dyDescent="0.25">
      <c r="B299" s="93" t="s">
        <v>330</v>
      </c>
      <c r="C299" s="693"/>
      <c r="D299" s="694"/>
      <c r="E299" s="695"/>
      <c r="F299" s="696"/>
      <c r="G299" s="699"/>
      <c r="H299" s="15">
        <f>SUM(H296:H298)</f>
        <v>0</v>
      </c>
      <c r="I299" s="765"/>
    </row>
    <row r="300" spans="2:9" x14ac:dyDescent="0.25">
      <c r="B300" s="16"/>
      <c r="C300" s="746"/>
      <c r="D300" s="746"/>
      <c r="E300" s="746"/>
      <c r="F300" s="746"/>
      <c r="G300" s="746"/>
      <c r="H300" s="17"/>
      <c r="I300" s="777"/>
    </row>
    <row r="301" spans="2:9" x14ac:dyDescent="0.25">
      <c r="B301" s="89" t="s">
        <v>295</v>
      </c>
      <c r="C301" s="693"/>
      <c r="D301" s="694"/>
      <c r="E301" s="695"/>
      <c r="F301" s="696"/>
      <c r="G301" s="699"/>
      <c r="H301" s="15">
        <f>+G301*F301</f>
        <v>0</v>
      </c>
      <c r="I301" s="759"/>
    </row>
    <row r="302" spans="2:9" x14ac:dyDescent="0.25">
      <c r="B302" s="14"/>
      <c r="C302" s="693"/>
      <c r="D302" s="694"/>
      <c r="E302" s="695"/>
      <c r="F302" s="696"/>
      <c r="G302" s="699"/>
      <c r="H302" s="15">
        <f>+G302*F302</f>
        <v>0</v>
      </c>
      <c r="I302" s="759"/>
    </row>
    <row r="303" spans="2:9" x14ac:dyDescent="0.25">
      <c r="B303" s="14"/>
      <c r="C303" s="693"/>
      <c r="D303" s="694"/>
      <c r="E303" s="695"/>
      <c r="F303" s="696"/>
      <c r="G303" s="699"/>
      <c r="H303" s="15">
        <f>+G303*F303</f>
        <v>0</v>
      </c>
      <c r="I303" s="759"/>
    </row>
    <row r="304" spans="2:9" x14ac:dyDescent="0.25">
      <c r="B304" s="93" t="s">
        <v>584</v>
      </c>
      <c r="C304" s="693"/>
      <c r="D304" s="694"/>
      <c r="E304" s="695"/>
      <c r="F304" s="696"/>
      <c r="G304" s="699"/>
      <c r="H304" s="15">
        <f>SUM(H301:H303)</f>
        <v>0</v>
      </c>
      <c r="I304" s="765"/>
    </row>
    <row r="305" spans="2:9" x14ac:dyDescent="0.25">
      <c r="B305" s="16"/>
      <c r="C305" s="746"/>
      <c r="D305" s="746"/>
      <c r="E305" s="746"/>
      <c r="F305" s="746"/>
      <c r="G305" s="746"/>
      <c r="H305" s="17"/>
      <c r="I305" s="777"/>
    </row>
    <row r="306" spans="2:9" x14ac:dyDescent="0.25">
      <c r="B306" s="542" t="s">
        <v>21</v>
      </c>
      <c r="C306" s="716"/>
      <c r="D306" s="717"/>
      <c r="E306" s="716"/>
      <c r="F306" s="718"/>
      <c r="G306" s="719"/>
      <c r="H306" s="556"/>
      <c r="I306" s="764"/>
    </row>
    <row r="307" spans="2:9" x14ac:dyDescent="0.25">
      <c r="B307" s="535"/>
      <c r="C307" s="716"/>
      <c r="D307" s="735"/>
      <c r="E307" s="716"/>
      <c r="F307" s="718"/>
      <c r="G307" s="719"/>
      <c r="H307" s="556"/>
      <c r="I307" s="764"/>
    </row>
    <row r="308" spans="2:9" x14ac:dyDescent="0.25">
      <c r="B308" s="535"/>
      <c r="C308" s="716"/>
      <c r="D308" s="717"/>
      <c r="E308" s="716"/>
      <c r="F308" s="718"/>
      <c r="G308" s="719"/>
      <c r="H308" s="556"/>
      <c r="I308" s="764"/>
    </row>
    <row r="309" spans="2:9" x14ac:dyDescent="0.25">
      <c r="B309" s="524" t="s">
        <v>344</v>
      </c>
      <c r="C309" s="716"/>
      <c r="D309" s="717"/>
      <c r="E309" s="716"/>
      <c r="F309" s="718"/>
      <c r="G309" s="719"/>
      <c r="H309" s="556"/>
      <c r="I309" s="769"/>
    </row>
    <row r="310" spans="2:9" x14ac:dyDescent="0.25">
      <c r="B310" s="16"/>
      <c r="C310" s="746"/>
      <c r="D310" s="746"/>
      <c r="E310" s="746"/>
      <c r="F310" s="746"/>
      <c r="G310" s="746"/>
      <c r="H310" s="17"/>
      <c r="I310" s="777"/>
    </row>
    <row r="311" spans="2:9" x14ac:dyDescent="0.25">
      <c r="B311" s="89" t="s">
        <v>293</v>
      </c>
      <c r="C311" s="693"/>
      <c r="D311" s="694"/>
      <c r="E311" s="695"/>
      <c r="F311" s="696"/>
      <c r="G311" s="699">
        <v>0</v>
      </c>
      <c r="H311" s="15">
        <f>+G311*F311</f>
        <v>0</v>
      </c>
      <c r="I311" s="759"/>
    </row>
    <row r="312" spans="2:9" x14ac:dyDescent="0.25">
      <c r="B312" s="14"/>
      <c r="C312" s="693"/>
      <c r="D312" s="694"/>
      <c r="E312" s="695"/>
      <c r="F312" s="696"/>
      <c r="G312" s="699"/>
      <c r="H312" s="15">
        <f>+G312*F312</f>
        <v>0</v>
      </c>
      <c r="I312" s="759"/>
    </row>
    <row r="313" spans="2:9" x14ac:dyDescent="0.25">
      <c r="B313" s="14"/>
      <c r="C313" s="693"/>
      <c r="D313" s="694"/>
      <c r="E313" s="695"/>
      <c r="F313" s="696"/>
      <c r="G313" s="699"/>
      <c r="H313" s="15">
        <f>+G313*F313</f>
        <v>0</v>
      </c>
      <c r="I313" s="759"/>
    </row>
    <row r="314" spans="2:9" x14ac:dyDescent="0.25">
      <c r="B314" s="93" t="s">
        <v>585</v>
      </c>
      <c r="C314" s="693"/>
      <c r="D314" s="694"/>
      <c r="E314" s="695"/>
      <c r="F314" s="696"/>
      <c r="G314" s="699"/>
      <c r="H314" s="15">
        <f>SUM(H311:H313)</f>
        <v>0</v>
      </c>
      <c r="I314" s="765"/>
    </row>
    <row r="315" spans="2:9" x14ac:dyDescent="0.25">
      <c r="B315" s="16"/>
      <c r="C315" s="746"/>
      <c r="D315" s="746"/>
      <c r="E315" s="746"/>
      <c r="F315" s="746"/>
      <c r="G315" s="746"/>
      <c r="H315" s="17"/>
      <c r="I315" s="777"/>
    </row>
    <row r="316" spans="2:9" x14ac:dyDescent="0.25">
      <c r="B316" s="89" t="s">
        <v>22</v>
      </c>
      <c r="C316" s="694" t="s">
        <v>663</v>
      </c>
      <c r="D316" s="756" t="s">
        <v>668</v>
      </c>
      <c r="E316" s="695" t="s">
        <v>695</v>
      </c>
      <c r="F316" s="696">
        <v>12</v>
      </c>
      <c r="G316" s="699">
        <v>250</v>
      </c>
      <c r="H316" s="15">
        <f>+G316*F316</f>
        <v>3000</v>
      </c>
      <c r="I316" s="759"/>
    </row>
    <row r="317" spans="2:9" x14ac:dyDescent="0.25">
      <c r="B317" s="14"/>
      <c r="C317" s="693"/>
      <c r="D317" s="694"/>
      <c r="E317" s="695" t="s">
        <v>696</v>
      </c>
      <c r="F317" s="696"/>
      <c r="G317" s="699"/>
      <c r="H317" s="15">
        <f>+G317*F317</f>
        <v>0</v>
      </c>
      <c r="I317" s="759"/>
    </row>
    <row r="318" spans="2:9" x14ac:dyDescent="0.25">
      <c r="B318" s="14"/>
      <c r="C318" s="693"/>
      <c r="D318" s="694"/>
      <c r="E318" s="695"/>
      <c r="F318" s="696"/>
      <c r="G318" s="699"/>
      <c r="H318" s="15">
        <f>+G318*F318</f>
        <v>0</v>
      </c>
      <c r="I318" s="759"/>
    </row>
    <row r="319" spans="2:9" x14ac:dyDescent="0.25">
      <c r="B319" s="93" t="s">
        <v>611</v>
      </c>
      <c r="C319" s="693"/>
      <c r="D319" s="694"/>
      <c r="E319" s="695"/>
      <c r="F319" s="696"/>
      <c r="G319" s="699"/>
      <c r="H319" s="15">
        <f>SUM(H316:H318)</f>
        <v>3000</v>
      </c>
      <c r="I319" s="765"/>
    </row>
    <row r="320" spans="2:9" x14ac:dyDescent="0.25">
      <c r="B320" s="16"/>
      <c r="C320" s="746"/>
      <c r="D320" s="746"/>
      <c r="E320" s="746"/>
      <c r="F320" s="746"/>
      <c r="G320" s="746"/>
      <c r="H320" s="17"/>
      <c r="I320" s="777"/>
    </row>
    <row r="321" spans="2:9" x14ac:dyDescent="0.25">
      <c r="B321" s="89" t="s">
        <v>113</v>
      </c>
      <c r="C321" s="693" t="s">
        <v>697</v>
      </c>
      <c r="D321" s="694" t="s">
        <v>668</v>
      </c>
      <c r="E321" s="695"/>
      <c r="F321" s="696">
        <v>12</v>
      </c>
      <c r="G321" s="699">
        <v>160</v>
      </c>
      <c r="H321" s="15">
        <f>+G321*F321</f>
        <v>1920</v>
      </c>
      <c r="I321" s="759"/>
    </row>
    <row r="322" spans="2:9" x14ac:dyDescent="0.25">
      <c r="B322" s="14"/>
      <c r="C322" s="693"/>
      <c r="D322" s="694"/>
      <c r="E322" s="695"/>
      <c r="F322" s="696"/>
      <c r="G322" s="699"/>
      <c r="H322" s="15">
        <f>+G322*F322</f>
        <v>0</v>
      </c>
      <c r="I322" s="759"/>
    </row>
    <row r="323" spans="2:9" x14ac:dyDescent="0.25">
      <c r="B323" s="14"/>
      <c r="C323" s="693"/>
      <c r="D323" s="694"/>
      <c r="E323" s="695"/>
      <c r="F323" s="696"/>
      <c r="G323" s="699"/>
      <c r="H323" s="15">
        <f>+G323*F323</f>
        <v>0</v>
      </c>
      <c r="I323" s="759"/>
    </row>
    <row r="324" spans="2:9" x14ac:dyDescent="0.25">
      <c r="B324" s="93" t="s">
        <v>586</v>
      </c>
      <c r="C324" s="693"/>
      <c r="D324" s="694"/>
      <c r="E324" s="695"/>
      <c r="F324" s="696"/>
      <c r="G324" s="699"/>
      <c r="H324" s="15">
        <f>SUM(H321:H323)</f>
        <v>1920</v>
      </c>
      <c r="I324" s="765"/>
    </row>
    <row r="325" spans="2:9" x14ac:dyDescent="0.25">
      <c r="B325" s="16"/>
      <c r="C325" s="746"/>
      <c r="D325" s="746"/>
      <c r="E325" s="746"/>
      <c r="F325" s="746"/>
      <c r="G325" s="746"/>
      <c r="H325" s="17"/>
      <c r="I325" s="777"/>
    </row>
    <row r="326" spans="2:9" x14ac:dyDescent="0.25">
      <c r="B326" s="89" t="s">
        <v>93</v>
      </c>
      <c r="C326" s="693" t="s">
        <v>698</v>
      </c>
      <c r="D326" s="694" t="s">
        <v>668</v>
      </c>
      <c r="E326" s="695"/>
      <c r="F326" s="696">
        <v>12</v>
      </c>
      <c r="G326" s="699">
        <v>375</v>
      </c>
      <c r="H326" s="15">
        <f>+G326*F326</f>
        <v>4500</v>
      </c>
      <c r="I326" s="759"/>
    </row>
    <row r="327" spans="2:9" x14ac:dyDescent="0.25">
      <c r="B327" s="14"/>
      <c r="C327" s="693"/>
      <c r="D327" s="747"/>
      <c r="E327" s="695"/>
      <c r="F327" s="696"/>
      <c r="G327" s="699"/>
      <c r="H327" s="15">
        <f>+G327*F327</f>
        <v>0</v>
      </c>
      <c r="I327" s="759"/>
    </row>
    <row r="328" spans="2:9" x14ac:dyDescent="0.25">
      <c r="B328" s="14"/>
      <c r="C328" s="693"/>
      <c r="D328" s="747"/>
      <c r="E328" s="695"/>
      <c r="F328" s="696"/>
      <c r="G328" s="699"/>
      <c r="H328" s="15">
        <f>+G328*F328</f>
        <v>0</v>
      </c>
      <c r="I328" s="759"/>
    </row>
    <row r="329" spans="2:9" x14ac:dyDescent="0.25">
      <c r="B329" s="93" t="s">
        <v>325</v>
      </c>
      <c r="C329" s="693"/>
      <c r="D329" s="694"/>
      <c r="E329" s="695"/>
      <c r="F329" s="696"/>
      <c r="G329" s="699"/>
      <c r="H329" s="15">
        <f>SUM(H326:H328)</f>
        <v>4500</v>
      </c>
      <c r="I329" s="765"/>
    </row>
    <row r="330" spans="2:9" x14ac:dyDescent="0.25">
      <c r="B330" s="16"/>
      <c r="C330" s="746"/>
      <c r="D330" s="746"/>
      <c r="E330" s="746"/>
      <c r="F330" s="746"/>
      <c r="G330" s="746"/>
      <c r="H330" s="17"/>
      <c r="I330" s="777"/>
    </row>
    <row r="331" spans="2:9" x14ac:dyDescent="0.25">
      <c r="B331" s="89" t="s">
        <v>28</v>
      </c>
      <c r="C331" s="693" t="s">
        <v>699</v>
      </c>
      <c r="D331" s="694" t="s">
        <v>668</v>
      </c>
      <c r="E331" s="695"/>
      <c r="F331" s="696">
        <v>12</v>
      </c>
      <c r="G331" s="699">
        <v>50</v>
      </c>
      <c r="H331" s="15">
        <f>+G331*F331</f>
        <v>600</v>
      </c>
      <c r="I331" s="759"/>
    </row>
    <row r="332" spans="2:9" x14ac:dyDescent="0.25">
      <c r="B332" s="14"/>
      <c r="C332" s="693"/>
      <c r="D332" s="694"/>
      <c r="E332" s="695"/>
      <c r="F332" s="696"/>
      <c r="G332" s="699"/>
      <c r="H332" s="15">
        <f>+G332*F332</f>
        <v>0</v>
      </c>
      <c r="I332" s="759"/>
    </row>
    <row r="333" spans="2:9" x14ac:dyDescent="0.25">
      <c r="B333" s="14"/>
      <c r="C333" s="693"/>
      <c r="D333" s="694"/>
      <c r="E333" s="695"/>
      <c r="F333" s="696"/>
      <c r="G333" s="699"/>
      <c r="H333" s="15">
        <f>+G333*F333</f>
        <v>0</v>
      </c>
      <c r="I333" s="759"/>
    </row>
    <row r="334" spans="2:9" x14ac:dyDescent="0.25">
      <c r="B334" s="93" t="s">
        <v>587</v>
      </c>
      <c r="C334" s="693"/>
      <c r="D334" s="694"/>
      <c r="E334" s="695"/>
      <c r="F334" s="696"/>
      <c r="G334" s="699"/>
      <c r="H334" s="15">
        <f>SUM(H331:H333)</f>
        <v>600</v>
      </c>
      <c r="I334" s="765"/>
    </row>
    <row r="335" spans="2:9" x14ac:dyDescent="0.25">
      <c r="B335" s="16"/>
      <c r="C335" s="746"/>
      <c r="D335" s="746"/>
      <c r="E335" s="746"/>
      <c r="F335" s="746"/>
      <c r="G335" s="746"/>
      <c r="H335" s="17"/>
      <c r="I335" s="777"/>
    </row>
    <row r="336" spans="2:9" x14ac:dyDescent="0.25">
      <c r="B336" s="89" t="s">
        <v>33</v>
      </c>
      <c r="C336" s="693"/>
      <c r="D336" s="694"/>
      <c r="E336" s="695"/>
      <c r="F336" s="696"/>
      <c r="G336" s="699"/>
      <c r="H336" s="15">
        <f>+G336*F336</f>
        <v>0</v>
      </c>
      <c r="I336" s="759"/>
    </row>
    <row r="337" spans="2:9" x14ac:dyDescent="0.25">
      <c r="B337" s="14"/>
      <c r="C337" s="693"/>
      <c r="D337" s="747"/>
      <c r="E337" s="695"/>
      <c r="F337" s="696"/>
      <c r="G337" s="699"/>
      <c r="H337" s="15">
        <f>+G337*F337</f>
        <v>0</v>
      </c>
      <c r="I337" s="759"/>
    </row>
    <row r="338" spans="2:9" x14ac:dyDescent="0.25">
      <c r="B338" s="14"/>
      <c r="C338" s="693"/>
      <c r="D338" s="747"/>
      <c r="E338" s="695"/>
      <c r="F338" s="696"/>
      <c r="G338" s="699"/>
      <c r="H338" s="15">
        <f>+G338*F338</f>
        <v>0</v>
      </c>
      <c r="I338" s="759"/>
    </row>
    <row r="339" spans="2:9" x14ac:dyDescent="0.25">
      <c r="B339" s="93" t="s">
        <v>337</v>
      </c>
      <c r="C339" s="693"/>
      <c r="D339" s="694"/>
      <c r="E339" s="695"/>
      <c r="F339" s="696"/>
      <c r="G339" s="699"/>
      <c r="H339" s="15">
        <f>SUM(H336:H338)</f>
        <v>0</v>
      </c>
      <c r="I339" s="765"/>
    </row>
    <row r="340" spans="2:9" x14ac:dyDescent="0.25">
      <c r="B340" s="16"/>
      <c r="C340" s="746"/>
      <c r="D340" s="746"/>
      <c r="E340" s="746"/>
      <c r="F340" s="746"/>
      <c r="G340" s="746"/>
      <c r="H340" s="17"/>
      <c r="I340" s="777"/>
    </row>
    <row r="341" spans="2:9" x14ac:dyDescent="0.25">
      <c r="B341" s="89" t="s">
        <v>29</v>
      </c>
      <c r="C341" s="693"/>
      <c r="D341" s="694"/>
      <c r="E341" s="695"/>
      <c r="F341" s="696">
        <v>0</v>
      </c>
      <c r="G341" s="699">
        <v>0</v>
      </c>
      <c r="H341" s="15">
        <f>+G341*F341</f>
        <v>0</v>
      </c>
      <c r="I341" s="759"/>
    </row>
    <row r="342" spans="2:9" x14ac:dyDescent="0.25">
      <c r="B342" s="14"/>
      <c r="C342" s="693"/>
      <c r="D342" s="747"/>
      <c r="E342" s="695"/>
      <c r="F342" s="696"/>
      <c r="G342" s="699"/>
      <c r="H342" s="15">
        <f>+G342*F342</f>
        <v>0</v>
      </c>
      <c r="I342" s="759"/>
    </row>
    <row r="343" spans="2:9" x14ac:dyDescent="0.25">
      <c r="B343" s="14"/>
      <c r="C343" s="693"/>
      <c r="D343" s="747"/>
      <c r="E343" s="695"/>
      <c r="F343" s="696"/>
      <c r="G343" s="699"/>
      <c r="H343" s="15">
        <f>+G343*F343</f>
        <v>0</v>
      </c>
      <c r="I343" s="759"/>
    </row>
    <row r="344" spans="2:9" x14ac:dyDescent="0.25">
      <c r="B344" s="93" t="s">
        <v>331</v>
      </c>
      <c r="C344" s="693"/>
      <c r="D344" s="694"/>
      <c r="E344" s="695"/>
      <c r="F344" s="696"/>
      <c r="G344" s="699"/>
      <c r="H344" s="15">
        <f>SUM(H341:H343)</f>
        <v>0</v>
      </c>
      <c r="I344" s="765"/>
    </row>
    <row r="345" spans="2:9" x14ac:dyDescent="0.25">
      <c r="B345" s="16"/>
      <c r="C345" s="746"/>
      <c r="D345" s="746"/>
      <c r="E345" s="746"/>
      <c r="F345" s="746"/>
      <c r="G345" s="746"/>
      <c r="H345" s="17"/>
      <c r="I345" s="777"/>
    </row>
    <row r="346" spans="2:9" x14ac:dyDescent="0.25">
      <c r="B346" s="89" t="s">
        <v>26</v>
      </c>
      <c r="C346" s="693"/>
      <c r="D346" s="694"/>
      <c r="E346" s="695"/>
      <c r="F346" s="696">
        <v>0</v>
      </c>
      <c r="G346" s="699">
        <v>0</v>
      </c>
      <c r="H346" s="15">
        <f>+G346*F346</f>
        <v>0</v>
      </c>
      <c r="I346" s="759"/>
    </row>
    <row r="347" spans="2:9" x14ac:dyDescent="0.25">
      <c r="B347" s="14"/>
      <c r="C347" s="693"/>
      <c r="D347" s="694"/>
      <c r="E347" s="695"/>
      <c r="F347" s="696"/>
      <c r="G347" s="699"/>
      <c r="H347" s="15">
        <f>+G347*F347</f>
        <v>0</v>
      </c>
      <c r="I347" s="759"/>
    </row>
    <row r="348" spans="2:9" x14ac:dyDescent="0.25">
      <c r="B348" s="14"/>
      <c r="C348" s="693"/>
      <c r="D348" s="694"/>
      <c r="E348" s="695"/>
      <c r="F348" s="696"/>
      <c r="G348" s="699"/>
      <c r="H348" s="15">
        <f>+G348*F348</f>
        <v>0</v>
      </c>
      <c r="I348" s="759"/>
    </row>
    <row r="349" spans="2:9" x14ac:dyDescent="0.25">
      <c r="B349" s="93" t="s">
        <v>329</v>
      </c>
      <c r="C349" s="693"/>
      <c r="D349" s="694"/>
      <c r="E349" s="695"/>
      <c r="F349" s="696"/>
      <c r="G349" s="699"/>
      <c r="H349" s="15">
        <f>SUM(H346:H348)</f>
        <v>0</v>
      </c>
      <c r="I349" s="765"/>
    </row>
    <row r="350" spans="2:9" x14ac:dyDescent="0.25">
      <c r="B350" s="16"/>
      <c r="C350" s="746"/>
      <c r="D350" s="746"/>
      <c r="E350" s="746"/>
      <c r="F350" s="746"/>
      <c r="G350" s="746"/>
      <c r="H350" s="17"/>
      <c r="I350" s="777"/>
    </row>
    <row r="351" spans="2:9" x14ac:dyDescent="0.25">
      <c r="B351" s="89" t="s">
        <v>32</v>
      </c>
      <c r="C351" s="693" t="s">
        <v>700</v>
      </c>
      <c r="D351" s="694" t="s">
        <v>701</v>
      </c>
      <c r="E351" s="695"/>
      <c r="F351" s="696">
        <v>12</v>
      </c>
      <c r="G351" s="699">
        <v>5</v>
      </c>
      <c r="H351" s="15">
        <f>+G351*F351</f>
        <v>60</v>
      </c>
      <c r="I351" s="759"/>
    </row>
    <row r="352" spans="2:9" x14ac:dyDescent="0.25">
      <c r="B352" s="14"/>
      <c r="C352" s="693"/>
      <c r="D352" s="747"/>
      <c r="E352" s="695"/>
      <c r="F352" s="696"/>
      <c r="G352" s="699"/>
      <c r="H352" s="15">
        <f>+G352*F352</f>
        <v>0</v>
      </c>
      <c r="I352" s="759"/>
    </row>
    <row r="353" spans="2:9" x14ac:dyDescent="0.25">
      <c r="B353" s="14"/>
      <c r="C353" s="693"/>
      <c r="D353" s="747"/>
      <c r="E353" s="695"/>
      <c r="F353" s="696"/>
      <c r="G353" s="699"/>
      <c r="H353" s="15">
        <f>+G353*F353</f>
        <v>0</v>
      </c>
      <c r="I353" s="759"/>
    </row>
    <row r="354" spans="2:9" x14ac:dyDescent="0.25">
      <c r="B354" s="93" t="s">
        <v>336</v>
      </c>
      <c r="C354" s="693"/>
      <c r="D354" s="694"/>
      <c r="E354" s="695"/>
      <c r="F354" s="696"/>
      <c r="G354" s="699"/>
      <c r="H354" s="15">
        <f>SUM(H351:H353)</f>
        <v>60</v>
      </c>
      <c r="I354" s="765"/>
    </row>
    <row r="355" spans="2:9" x14ac:dyDescent="0.25">
      <c r="B355" s="16"/>
      <c r="C355" s="746"/>
      <c r="D355" s="746"/>
      <c r="E355" s="746"/>
      <c r="F355" s="746"/>
      <c r="G355" s="746"/>
      <c r="H355" s="17"/>
      <c r="I355" s="777"/>
    </row>
    <row r="356" spans="2:9" x14ac:dyDescent="0.25">
      <c r="B356" s="89" t="s">
        <v>31</v>
      </c>
      <c r="C356" s="693" t="s">
        <v>702</v>
      </c>
      <c r="D356" s="694" t="s">
        <v>668</v>
      </c>
      <c r="E356" s="695" t="s">
        <v>703</v>
      </c>
      <c r="F356" s="696">
        <v>12</v>
      </c>
      <c r="G356" s="699">
        <v>30</v>
      </c>
      <c r="H356" s="15">
        <f>+G356*F356</f>
        <v>360</v>
      </c>
      <c r="I356" s="759"/>
    </row>
    <row r="357" spans="2:9" x14ac:dyDescent="0.25">
      <c r="B357" s="14"/>
      <c r="C357" s="693"/>
      <c r="D357" s="747"/>
      <c r="E357" s="695" t="s">
        <v>704</v>
      </c>
      <c r="F357" s="696"/>
      <c r="G357" s="699"/>
      <c r="H357" s="15">
        <f>+G357*F357</f>
        <v>0</v>
      </c>
      <c r="I357" s="759"/>
    </row>
    <row r="358" spans="2:9" x14ac:dyDescent="0.25">
      <c r="B358" s="14"/>
      <c r="C358" s="693"/>
      <c r="D358" s="747"/>
      <c r="E358" s="695"/>
      <c r="F358" s="696"/>
      <c r="G358" s="699"/>
      <c r="H358" s="15">
        <f>+G358*F358</f>
        <v>0</v>
      </c>
      <c r="I358" s="759"/>
    </row>
    <row r="359" spans="2:9" x14ac:dyDescent="0.25">
      <c r="B359" s="93" t="s">
        <v>335</v>
      </c>
      <c r="C359" s="693"/>
      <c r="D359" s="694"/>
      <c r="E359" s="695"/>
      <c r="F359" s="696"/>
      <c r="G359" s="699"/>
      <c r="H359" s="15">
        <f>SUM(H356:H358)</f>
        <v>360</v>
      </c>
      <c r="I359" s="765"/>
    </row>
    <row r="360" spans="2:9" x14ac:dyDescent="0.25">
      <c r="B360" s="16"/>
      <c r="C360" s="746"/>
      <c r="D360" s="746"/>
      <c r="E360" s="746"/>
      <c r="F360" s="746"/>
      <c r="G360" s="746"/>
      <c r="H360" s="17"/>
      <c r="I360" s="777"/>
    </row>
    <row r="361" spans="2:9" s="536" customFormat="1" x14ac:dyDescent="0.25">
      <c r="B361" s="89" t="s">
        <v>588</v>
      </c>
      <c r="C361" s="693"/>
      <c r="D361" s="694"/>
      <c r="E361" s="695"/>
      <c r="F361" s="696"/>
      <c r="G361" s="699"/>
      <c r="H361" s="15">
        <f>+G361*F361</f>
        <v>0</v>
      </c>
      <c r="I361" s="759"/>
    </row>
    <row r="362" spans="2:9" s="536" customFormat="1" x14ac:dyDescent="0.25">
      <c r="B362" s="14"/>
      <c r="C362" s="693"/>
      <c r="D362" s="747"/>
      <c r="E362" s="695"/>
      <c r="F362" s="696"/>
      <c r="G362" s="699"/>
      <c r="H362" s="15">
        <f>+G362*F362</f>
        <v>0</v>
      </c>
      <c r="I362" s="759"/>
    </row>
    <row r="363" spans="2:9" s="536" customFormat="1" x14ac:dyDescent="0.25">
      <c r="B363" s="14"/>
      <c r="C363" s="693"/>
      <c r="D363" s="747"/>
      <c r="E363" s="695"/>
      <c r="F363" s="696"/>
      <c r="G363" s="699"/>
      <c r="H363" s="15">
        <f>+G363*F363</f>
        <v>0</v>
      </c>
      <c r="I363" s="759"/>
    </row>
    <row r="364" spans="2:9" s="536" customFormat="1" x14ac:dyDescent="0.25">
      <c r="B364" s="93" t="s">
        <v>589</v>
      </c>
      <c r="C364" s="693"/>
      <c r="D364" s="694"/>
      <c r="E364" s="695"/>
      <c r="F364" s="696"/>
      <c r="G364" s="699"/>
      <c r="H364" s="15">
        <f>SUM(H361:H363)</f>
        <v>0</v>
      </c>
      <c r="I364" s="765"/>
    </row>
    <row r="365" spans="2:9" x14ac:dyDescent="0.25">
      <c r="B365" s="16"/>
      <c r="C365" s="746"/>
      <c r="D365" s="746"/>
      <c r="E365" s="746"/>
      <c r="F365" s="746"/>
      <c r="G365" s="746"/>
      <c r="H365" s="17"/>
      <c r="I365" s="777"/>
    </row>
    <row r="366" spans="2:9" x14ac:dyDescent="0.25">
      <c r="B366" s="89" t="s">
        <v>588</v>
      </c>
      <c r="C366" s="693"/>
      <c r="D366" s="694"/>
      <c r="E366" s="695"/>
      <c r="F366" s="696"/>
      <c r="G366" s="699"/>
      <c r="H366" s="15">
        <f>+G366*F366</f>
        <v>0</v>
      </c>
      <c r="I366" s="759"/>
    </row>
    <row r="367" spans="2:9" x14ac:dyDescent="0.25">
      <c r="B367" s="14"/>
      <c r="C367" s="693"/>
      <c r="D367" s="747"/>
      <c r="E367" s="695"/>
      <c r="F367" s="696"/>
      <c r="G367" s="699"/>
      <c r="H367" s="15">
        <f>+G367*F367</f>
        <v>0</v>
      </c>
      <c r="I367" s="759"/>
    </row>
    <row r="368" spans="2:9" x14ac:dyDescent="0.25">
      <c r="B368" s="14"/>
      <c r="C368" s="693"/>
      <c r="D368" s="747"/>
      <c r="E368" s="695"/>
      <c r="F368" s="696"/>
      <c r="G368" s="699"/>
      <c r="H368" s="15">
        <f>+G368*F368</f>
        <v>0</v>
      </c>
      <c r="I368" s="759"/>
    </row>
    <row r="369" spans="1:9" x14ac:dyDescent="0.25">
      <c r="B369" s="93" t="s">
        <v>589</v>
      </c>
      <c r="C369" s="693"/>
      <c r="D369" s="694"/>
      <c r="E369" s="695"/>
      <c r="F369" s="696"/>
      <c r="G369" s="699"/>
      <c r="H369" s="15">
        <f>SUM(H366:H368)</f>
        <v>0</v>
      </c>
      <c r="I369" s="765"/>
    </row>
    <row r="370" spans="1:9" x14ac:dyDescent="0.25">
      <c r="B370" s="16"/>
      <c r="C370" s="746"/>
      <c r="D370" s="746"/>
      <c r="E370" s="746"/>
      <c r="F370" s="746"/>
      <c r="G370" s="746"/>
      <c r="H370" s="17"/>
      <c r="I370" s="777"/>
    </row>
    <row r="371" spans="1:9" ht="16.5" thickBot="1" x14ac:dyDescent="0.3">
      <c r="B371" s="18"/>
      <c r="C371" s="700"/>
      <c r="D371" s="700"/>
      <c r="E371" s="700"/>
      <c r="F371" s="700"/>
      <c r="G371" s="700"/>
      <c r="H371" s="19"/>
      <c r="I371" s="700"/>
    </row>
    <row r="372" spans="1:9" ht="32.25" thickTop="1" x14ac:dyDescent="0.25">
      <c r="A372" s="11" t="s">
        <v>298</v>
      </c>
      <c r="B372" s="11" t="s">
        <v>168</v>
      </c>
      <c r="C372" s="745" t="s">
        <v>116</v>
      </c>
      <c r="D372" s="702" t="s">
        <v>117</v>
      </c>
      <c r="E372" s="702" t="s">
        <v>118</v>
      </c>
      <c r="F372" s="702" t="s">
        <v>119</v>
      </c>
      <c r="G372" s="702" t="s">
        <v>120</v>
      </c>
      <c r="H372" s="20" t="s">
        <v>121</v>
      </c>
      <c r="I372" s="760" t="s">
        <v>122</v>
      </c>
    </row>
    <row r="373" spans="1:9" x14ac:dyDescent="0.25">
      <c r="A373" s="3" t="s">
        <v>590</v>
      </c>
      <c r="B373" s="3"/>
      <c r="C373" s="691"/>
      <c r="D373" s="692"/>
      <c r="E373" s="692"/>
      <c r="F373" s="692"/>
      <c r="G373" s="692"/>
      <c r="H373" s="13"/>
      <c r="I373" s="758"/>
    </row>
    <row r="374" spans="1:9" x14ac:dyDescent="0.25">
      <c r="B374" s="16"/>
      <c r="C374" s="746"/>
      <c r="D374" s="746"/>
      <c r="E374" s="746"/>
      <c r="F374" s="746"/>
      <c r="G374" s="746"/>
      <c r="H374" s="17"/>
      <c r="I374" s="777"/>
    </row>
    <row r="375" spans="1:9" x14ac:dyDescent="0.25">
      <c r="B375" s="89" t="s">
        <v>591</v>
      </c>
      <c r="C375" s="693" t="s">
        <v>705</v>
      </c>
      <c r="D375" s="694"/>
      <c r="E375" s="695" t="s">
        <v>706</v>
      </c>
      <c r="F375" s="696">
        <v>6</v>
      </c>
      <c r="G375" s="699">
        <v>60</v>
      </c>
      <c r="H375" s="15">
        <f>+G375*F375</f>
        <v>360</v>
      </c>
      <c r="I375" s="759"/>
    </row>
    <row r="376" spans="1:9" x14ac:dyDescent="0.25">
      <c r="B376" s="14"/>
      <c r="C376" s="693"/>
      <c r="D376" s="747"/>
      <c r="E376" s="695"/>
      <c r="F376" s="696"/>
      <c r="G376" s="699"/>
      <c r="H376" s="15">
        <f>+G376*F376</f>
        <v>0</v>
      </c>
      <c r="I376" s="759"/>
    </row>
    <row r="377" spans="1:9" x14ac:dyDescent="0.25">
      <c r="B377" s="14"/>
      <c r="C377" s="693"/>
      <c r="D377" s="747"/>
      <c r="E377" s="695"/>
      <c r="F377" s="696"/>
      <c r="G377" s="699"/>
      <c r="H377" s="15">
        <f>+G377*F377</f>
        <v>0</v>
      </c>
      <c r="I377" s="759"/>
    </row>
    <row r="378" spans="1:9" x14ac:dyDescent="0.25">
      <c r="B378" s="93" t="s">
        <v>592</v>
      </c>
      <c r="C378" s="693"/>
      <c r="D378" s="694"/>
      <c r="E378" s="695"/>
      <c r="F378" s="696"/>
      <c r="G378" s="699"/>
      <c r="H378" s="15">
        <f>SUM(H375:H377)</f>
        <v>360</v>
      </c>
      <c r="I378" s="765"/>
    </row>
    <row r="379" spans="1:9" x14ac:dyDescent="0.25">
      <c r="B379" s="16"/>
      <c r="C379" s="746"/>
      <c r="D379" s="746"/>
      <c r="E379" s="746"/>
      <c r="F379" s="746"/>
      <c r="G379" s="746"/>
      <c r="H379" s="17"/>
      <c r="I379" s="777"/>
    </row>
    <row r="380" spans="1:9" x14ac:dyDescent="0.25">
      <c r="B380" s="89" t="s">
        <v>593</v>
      </c>
      <c r="C380" s="693" t="s">
        <v>707</v>
      </c>
      <c r="D380" s="694"/>
      <c r="E380" s="695" t="s">
        <v>708</v>
      </c>
      <c r="F380" s="696">
        <v>6</v>
      </c>
      <c r="G380" s="699">
        <v>55</v>
      </c>
      <c r="H380" s="15">
        <f>+G380*F380</f>
        <v>330</v>
      </c>
      <c r="I380" s="759"/>
    </row>
    <row r="381" spans="1:9" x14ac:dyDescent="0.25">
      <c r="B381" s="14"/>
      <c r="C381" s="693"/>
      <c r="D381" s="747"/>
      <c r="E381" s="695"/>
      <c r="F381" s="696"/>
      <c r="G381" s="699"/>
      <c r="H381" s="15">
        <f>+G381*F381</f>
        <v>0</v>
      </c>
      <c r="I381" s="759"/>
    </row>
    <row r="382" spans="1:9" x14ac:dyDescent="0.25">
      <c r="B382" s="14"/>
      <c r="C382" s="693"/>
      <c r="D382" s="747"/>
      <c r="E382" s="695"/>
      <c r="F382" s="696"/>
      <c r="G382" s="699"/>
      <c r="H382" s="15">
        <f>+G382*F382</f>
        <v>0</v>
      </c>
      <c r="I382" s="759"/>
    </row>
    <row r="383" spans="1:9" x14ac:dyDescent="0.25">
      <c r="B383" s="93" t="s">
        <v>594</v>
      </c>
      <c r="C383" s="693"/>
      <c r="D383" s="694"/>
      <c r="E383" s="695"/>
      <c r="F383" s="696"/>
      <c r="G383" s="699"/>
      <c r="H383" s="15">
        <f>SUM(H380:H382)</f>
        <v>330</v>
      </c>
      <c r="I383" s="765"/>
    </row>
    <row r="384" spans="1:9" x14ac:dyDescent="0.25">
      <c r="B384" s="16"/>
      <c r="C384" s="746"/>
      <c r="D384" s="746"/>
      <c r="E384" s="746"/>
      <c r="F384" s="746"/>
      <c r="G384" s="746"/>
      <c r="H384" s="17"/>
      <c r="I384" s="777"/>
    </row>
    <row r="385" spans="1:9" x14ac:dyDescent="0.25">
      <c r="B385" s="89" t="s">
        <v>595</v>
      </c>
      <c r="C385" s="693"/>
      <c r="D385" s="694"/>
      <c r="E385" s="695"/>
      <c r="F385" s="696">
        <v>12</v>
      </c>
      <c r="G385" s="699"/>
      <c r="H385" s="15">
        <f>+G385*F385</f>
        <v>0</v>
      </c>
      <c r="I385" s="759"/>
    </row>
    <row r="386" spans="1:9" x14ac:dyDescent="0.25">
      <c r="B386" s="14"/>
      <c r="C386" s="693"/>
      <c r="D386" s="747"/>
      <c r="E386" s="695"/>
      <c r="F386" s="696"/>
      <c r="G386" s="699"/>
      <c r="H386" s="15">
        <f>+G386*F386</f>
        <v>0</v>
      </c>
      <c r="I386" s="759"/>
    </row>
    <row r="387" spans="1:9" x14ac:dyDescent="0.25">
      <c r="B387" s="14"/>
      <c r="C387" s="693"/>
      <c r="D387" s="747"/>
      <c r="E387" s="695"/>
      <c r="F387" s="696"/>
      <c r="G387" s="699"/>
      <c r="H387" s="15">
        <f>+G387*F387</f>
        <v>0</v>
      </c>
      <c r="I387" s="759"/>
    </row>
    <row r="388" spans="1:9" x14ac:dyDescent="0.25">
      <c r="B388" s="93" t="s">
        <v>596</v>
      </c>
      <c r="C388" s="693"/>
      <c r="D388" s="694"/>
      <c r="E388" s="695"/>
      <c r="F388" s="696"/>
      <c r="G388" s="699"/>
      <c r="H388" s="15">
        <f>SUM(H385:H387)</f>
        <v>0</v>
      </c>
      <c r="I388" s="765"/>
    </row>
    <row r="389" spans="1:9" x14ac:dyDescent="0.25">
      <c r="B389" s="16"/>
      <c r="C389" s="746"/>
      <c r="D389" s="746"/>
      <c r="E389" s="746"/>
      <c r="F389" s="746"/>
      <c r="G389" s="746"/>
      <c r="H389" s="17"/>
      <c r="I389" s="777"/>
    </row>
    <row r="390" spans="1:9" s="536" customFormat="1" x14ac:dyDescent="0.25">
      <c r="B390" s="89" t="s">
        <v>580</v>
      </c>
      <c r="C390" s="693"/>
      <c r="D390" s="694"/>
      <c r="E390" s="695"/>
      <c r="F390" s="696"/>
      <c r="G390" s="699"/>
      <c r="H390" s="15">
        <f>+G390*F390</f>
        <v>0</v>
      </c>
      <c r="I390" s="759"/>
    </row>
    <row r="391" spans="1:9" s="536" customFormat="1" x14ac:dyDescent="0.25">
      <c r="B391" s="14"/>
      <c r="C391" s="693"/>
      <c r="D391" s="747"/>
      <c r="E391" s="695"/>
      <c r="F391" s="696"/>
      <c r="G391" s="699"/>
      <c r="H391" s="15">
        <f>+G391*F391</f>
        <v>0</v>
      </c>
      <c r="I391" s="759"/>
    </row>
    <row r="392" spans="1:9" s="536" customFormat="1" x14ac:dyDescent="0.25">
      <c r="B392" s="14"/>
      <c r="C392" s="693"/>
      <c r="D392" s="747"/>
      <c r="E392" s="695"/>
      <c r="F392" s="696"/>
      <c r="G392" s="699"/>
      <c r="H392" s="15">
        <f>+G392*F392</f>
        <v>0</v>
      </c>
      <c r="I392" s="759"/>
    </row>
    <row r="393" spans="1:9" s="536" customFormat="1" x14ac:dyDescent="0.25">
      <c r="B393" s="93" t="s">
        <v>581</v>
      </c>
      <c r="C393" s="693"/>
      <c r="D393" s="694"/>
      <c r="E393" s="695"/>
      <c r="F393" s="696"/>
      <c r="G393" s="699"/>
      <c r="H393" s="15">
        <f>SUM(H390:H392)</f>
        <v>0</v>
      </c>
      <c r="I393" s="765"/>
    </row>
    <row r="394" spans="1:9" x14ac:dyDescent="0.25">
      <c r="B394" s="16"/>
      <c r="C394" s="746"/>
      <c r="D394" s="746"/>
      <c r="E394" s="746"/>
      <c r="F394" s="746"/>
      <c r="G394" s="746"/>
      <c r="H394" s="17"/>
      <c r="I394" s="777"/>
    </row>
    <row r="395" spans="1:9" ht="16.5" thickBot="1" x14ac:dyDescent="0.3">
      <c r="B395" s="21"/>
      <c r="C395" s="749"/>
      <c r="D395" s="750"/>
      <c r="E395" s="751"/>
      <c r="F395" s="742"/>
      <c r="G395" s="752"/>
      <c r="H395" s="22"/>
      <c r="I395" s="778"/>
    </row>
    <row r="396" spans="1:9" ht="32.25" thickTop="1" x14ac:dyDescent="0.25">
      <c r="A396" s="11" t="s">
        <v>298</v>
      </c>
      <c r="B396" s="11" t="s">
        <v>168</v>
      </c>
      <c r="C396" s="745" t="s">
        <v>116</v>
      </c>
      <c r="D396" s="702" t="s">
        <v>117</v>
      </c>
      <c r="E396" s="702" t="s">
        <v>118</v>
      </c>
      <c r="F396" s="753" t="s">
        <v>612</v>
      </c>
      <c r="G396" s="702" t="s">
        <v>120</v>
      </c>
      <c r="H396" s="20" t="s">
        <v>121</v>
      </c>
      <c r="I396" s="760" t="s">
        <v>122</v>
      </c>
    </row>
    <row r="397" spans="1:9" x14ac:dyDescent="0.25">
      <c r="A397" s="3" t="s">
        <v>597</v>
      </c>
      <c r="B397" s="3"/>
      <c r="C397" s="691"/>
      <c r="D397" s="692"/>
      <c r="E397" s="692"/>
      <c r="F397" s="692"/>
      <c r="G397" s="692"/>
      <c r="H397" s="13"/>
      <c r="I397" s="758"/>
    </row>
    <row r="398" spans="1:9" x14ac:dyDescent="0.25">
      <c r="B398" s="21" t="s">
        <v>294</v>
      </c>
      <c r="C398" s="749"/>
      <c r="D398" s="750"/>
      <c r="E398" s="751"/>
      <c r="F398" s="742">
        <v>0</v>
      </c>
      <c r="G398" s="752"/>
      <c r="H398" s="15">
        <f>+G398*F398</f>
        <v>0</v>
      </c>
      <c r="I398" s="778"/>
    </row>
    <row r="399" spans="1:9" x14ac:dyDescent="0.25">
      <c r="B399" s="21"/>
      <c r="C399" s="749"/>
      <c r="D399" s="750"/>
      <c r="E399" s="751"/>
      <c r="F399" s="742"/>
      <c r="G399" s="752"/>
      <c r="H399" s="15">
        <f>+G399*F399</f>
        <v>0</v>
      </c>
      <c r="I399" s="778"/>
    </row>
    <row r="400" spans="1:9" x14ac:dyDescent="0.25">
      <c r="B400" s="21"/>
      <c r="C400" s="749"/>
      <c r="D400" s="754"/>
      <c r="E400" s="751"/>
      <c r="F400" s="742"/>
      <c r="G400" s="752"/>
      <c r="H400" s="15">
        <f>+G400*F400</f>
        <v>0</v>
      </c>
      <c r="I400" s="778"/>
    </row>
    <row r="401" spans="2:9" x14ac:dyDescent="0.25">
      <c r="B401" s="21" t="s">
        <v>598</v>
      </c>
      <c r="C401" s="749"/>
      <c r="D401" s="754"/>
      <c r="E401" s="751"/>
      <c r="F401" s="742"/>
      <c r="G401" s="752"/>
      <c r="H401" s="22">
        <f>SUM(H398:H400)</f>
        <v>0</v>
      </c>
      <c r="I401" s="778"/>
    </row>
    <row r="402" spans="2:9" ht="16.5" thickBot="1" x14ac:dyDescent="0.3">
      <c r="B402" s="23"/>
      <c r="C402" s="755"/>
      <c r="D402" s="755"/>
      <c r="E402" s="755"/>
      <c r="F402" s="755"/>
      <c r="G402" s="755"/>
      <c r="H402" s="24"/>
      <c r="I402" s="779"/>
    </row>
    <row r="403" spans="2:9" ht="16.5" thickTop="1" x14ac:dyDescent="0.25">
      <c r="B403" s="21" t="s">
        <v>105</v>
      </c>
      <c r="C403" s="749"/>
      <c r="D403" s="750"/>
      <c r="E403" s="751"/>
      <c r="F403" s="742">
        <v>0</v>
      </c>
      <c r="G403" s="752"/>
      <c r="H403" s="15">
        <f>+G403*F403</f>
        <v>0</v>
      </c>
      <c r="I403" s="778"/>
    </row>
    <row r="404" spans="2:9" x14ac:dyDescent="0.25">
      <c r="B404" s="21"/>
      <c r="C404" s="749"/>
      <c r="D404" s="750"/>
      <c r="E404" s="751"/>
      <c r="F404" s="742"/>
      <c r="G404" s="752"/>
      <c r="H404" s="15">
        <f>+G404*F404</f>
        <v>0</v>
      </c>
      <c r="I404" s="778"/>
    </row>
    <row r="405" spans="2:9" x14ac:dyDescent="0.25">
      <c r="B405" s="21"/>
      <c r="C405" s="749"/>
      <c r="D405" s="754"/>
      <c r="E405" s="751"/>
      <c r="F405" s="742"/>
      <c r="G405" s="752"/>
      <c r="H405" s="15">
        <f>+G405*F405</f>
        <v>0</v>
      </c>
      <c r="I405" s="778"/>
    </row>
    <row r="406" spans="2:9" x14ac:dyDescent="0.25">
      <c r="B406" s="21" t="s">
        <v>599</v>
      </c>
      <c r="C406" s="749"/>
      <c r="D406" s="754"/>
      <c r="E406" s="751"/>
      <c r="F406" s="742"/>
      <c r="G406" s="752"/>
      <c r="H406" s="22">
        <f>SUM(H402:H405)</f>
        <v>0</v>
      </c>
      <c r="I406" s="778"/>
    </row>
    <row r="407" spans="2:9" ht="16.5" thickBot="1" x14ac:dyDescent="0.3">
      <c r="B407" s="23"/>
      <c r="C407" s="755"/>
      <c r="D407" s="755"/>
      <c r="E407" s="755"/>
      <c r="F407" s="755"/>
      <c r="G407" s="755"/>
      <c r="H407" s="24"/>
      <c r="I407" s="779"/>
    </row>
    <row r="408" spans="2:9" ht="16.5" thickTop="1" x14ac:dyDescent="0.25">
      <c r="B408" s="21" t="s">
        <v>44</v>
      </c>
      <c r="C408" s="749"/>
      <c r="D408" s="750" t="s">
        <v>668</v>
      </c>
      <c r="E408" s="751"/>
      <c r="F408" s="742">
        <v>12</v>
      </c>
      <c r="G408" s="752">
        <v>180</v>
      </c>
      <c r="H408" s="15">
        <f>+G408*F408</f>
        <v>2160</v>
      </c>
      <c r="I408" s="778"/>
    </row>
    <row r="409" spans="2:9" x14ac:dyDescent="0.25">
      <c r="B409" s="21"/>
      <c r="C409" s="749"/>
      <c r="D409" s="750"/>
      <c r="E409" s="751"/>
      <c r="F409" s="742"/>
      <c r="G409" s="752"/>
      <c r="H409" s="15">
        <f>+G409*F409</f>
        <v>0</v>
      </c>
      <c r="I409" s="778"/>
    </row>
    <row r="410" spans="2:9" x14ac:dyDescent="0.25">
      <c r="B410" s="21"/>
      <c r="C410" s="749"/>
      <c r="D410" s="754"/>
      <c r="E410" s="751"/>
      <c r="F410" s="742"/>
      <c r="G410" s="752"/>
      <c r="H410" s="15">
        <f>+G410*F410</f>
        <v>0</v>
      </c>
      <c r="I410" s="778"/>
    </row>
    <row r="411" spans="2:9" x14ac:dyDescent="0.25">
      <c r="B411" s="21" t="s">
        <v>600</v>
      </c>
      <c r="C411" s="749"/>
      <c r="D411" s="754"/>
      <c r="E411" s="751"/>
      <c r="F411" s="742"/>
      <c r="G411" s="752"/>
      <c r="H411" s="22">
        <f>SUM(H407:H410)</f>
        <v>2160</v>
      </c>
      <c r="I411" s="778"/>
    </row>
    <row r="412" spans="2:9" ht="16.5" thickBot="1" x14ac:dyDescent="0.3">
      <c r="B412" s="23"/>
      <c r="C412" s="755"/>
      <c r="D412" s="755"/>
      <c r="E412" s="755"/>
      <c r="F412" s="755"/>
      <c r="G412" s="755"/>
      <c r="H412" s="24"/>
      <c r="I412" s="779"/>
    </row>
    <row r="413" spans="2:9" ht="16.5" thickTop="1" x14ac:dyDescent="0.25">
      <c r="B413" s="21" t="s">
        <v>45</v>
      </c>
      <c r="C413" s="749"/>
      <c r="D413" s="750"/>
      <c r="E413" s="751"/>
      <c r="F413" s="742">
        <v>12</v>
      </c>
      <c r="G413" s="752">
        <v>97</v>
      </c>
      <c r="H413" s="15">
        <f>+G413*F413</f>
        <v>1164</v>
      </c>
      <c r="I413" s="778"/>
    </row>
    <row r="414" spans="2:9" x14ac:dyDescent="0.25">
      <c r="B414" s="21"/>
      <c r="C414" s="749"/>
      <c r="D414" s="750"/>
      <c r="E414" s="751"/>
      <c r="F414" s="742"/>
      <c r="G414" s="752"/>
      <c r="H414" s="15">
        <f>+G414*F414</f>
        <v>0</v>
      </c>
      <c r="I414" s="778"/>
    </row>
    <row r="415" spans="2:9" x14ac:dyDescent="0.25">
      <c r="B415" s="21"/>
      <c r="C415" s="749"/>
      <c r="D415" s="754"/>
      <c r="E415" s="751"/>
      <c r="F415" s="742"/>
      <c r="G415" s="752"/>
      <c r="H415" s="15">
        <f>+G415*F415</f>
        <v>0</v>
      </c>
      <c r="I415" s="778"/>
    </row>
    <row r="416" spans="2:9" x14ac:dyDescent="0.25">
      <c r="B416" s="21" t="s">
        <v>601</v>
      </c>
      <c r="C416" s="749"/>
      <c r="D416" s="754"/>
      <c r="E416" s="751"/>
      <c r="F416" s="742"/>
      <c r="G416" s="752"/>
      <c r="H416" s="22">
        <f>SUM(H412:H415)</f>
        <v>1164</v>
      </c>
      <c r="I416" s="778"/>
    </row>
    <row r="417" spans="2:9" ht="16.5" thickBot="1" x14ac:dyDescent="0.3">
      <c r="B417" s="23"/>
      <c r="C417" s="755"/>
      <c r="D417" s="755"/>
      <c r="E417" s="755"/>
      <c r="F417" s="755"/>
      <c r="G417" s="755"/>
      <c r="H417" s="24"/>
      <c r="I417" s="779"/>
    </row>
    <row r="418" spans="2:9" ht="16.5" thickTop="1" x14ac:dyDescent="0.25">
      <c r="B418" s="21" t="s">
        <v>47</v>
      </c>
      <c r="C418" s="749"/>
      <c r="D418" s="750"/>
      <c r="E418" s="751"/>
      <c r="F418" s="742"/>
      <c r="G418" s="752"/>
      <c r="H418" s="15">
        <f>+G418*F418</f>
        <v>0</v>
      </c>
      <c r="I418" s="778"/>
    </row>
    <row r="419" spans="2:9" x14ac:dyDescent="0.25">
      <c r="B419" s="21"/>
      <c r="C419" s="749"/>
      <c r="D419" s="750"/>
      <c r="E419" s="751"/>
      <c r="F419" s="742"/>
      <c r="G419" s="752"/>
      <c r="H419" s="15">
        <f>+G419*F419</f>
        <v>0</v>
      </c>
      <c r="I419" s="778"/>
    </row>
    <row r="420" spans="2:9" x14ac:dyDescent="0.25">
      <c r="B420" s="21"/>
      <c r="C420" s="749"/>
      <c r="D420" s="754"/>
      <c r="E420" s="751"/>
      <c r="F420" s="742"/>
      <c r="G420" s="752"/>
      <c r="H420" s="15">
        <f>+G420*F420</f>
        <v>0</v>
      </c>
      <c r="I420" s="778"/>
    </row>
    <row r="421" spans="2:9" x14ac:dyDescent="0.25">
      <c r="B421" s="21" t="s">
        <v>602</v>
      </c>
      <c r="C421" s="749"/>
      <c r="D421" s="754"/>
      <c r="E421" s="751"/>
      <c r="F421" s="742"/>
      <c r="G421" s="752"/>
      <c r="H421" s="22">
        <f>SUM(H417:H420)</f>
        <v>0</v>
      </c>
      <c r="I421" s="778"/>
    </row>
    <row r="422" spans="2:9" ht="16.5" thickBot="1" x14ac:dyDescent="0.3">
      <c r="B422" s="23"/>
      <c r="C422" s="755"/>
      <c r="D422" s="755"/>
      <c r="E422" s="755"/>
      <c r="F422" s="755"/>
      <c r="G422" s="755"/>
      <c r="H422" s="24"/>
      <c r="I422" s="779"/>
    </row>
    <row r="423" spans="2:9" ht="16.5" thickTop="1" x14ac:dyDescent="0.25">
      <c r="B423" s="21" t="s">
        <v>55</v>
      </c>
      <c r="C423" s="749" t="s">
        <v>346</v>
      </c>
      <c r="D423" s="750"/>
      <c r="E423" s="751"/>
      <c r="F423" s="742">
        <v>12</v>
      </c>
      <c r="G423" s="752">
        <v>985</v>
      </c>
      <c r="H423" s="15">
        <f>+G423*F423</f>
        <v>11820</v>
      </c>
      <c r="I423" s="778"/>
    </row>
    <row r="424" spans="2:9" x14ac:dyDescent="0.25">
      <c r="B424" s="21"/>
      <c r="C424" s="749"/>
      <c r="D424" s="750"/>
      <c r="E424" s="751"/>
      <c r="F424" s="742"/>
      <c r="G424" s="752"/>
      <c r="H424" s="15">
        <f>+G424*F424</f>
        <v>0</v>
      </c>
      <c r="I424" s="778"/>
    </row>
    <row r="425" spans="2:9" x14ac:dyDescent="0.25">
      <c r="B425" s="21"/>
      <c r="C425" s="749"/>
      <c r="D425" s="754"/>
      <c r="E425" s="751"/>
      <c r="F425" s="742"/>
      <c r="G425" s="752"/>
      <c r="H425" s="15">
        <f>+G425*F425</f>
        <v>0</v>
      </c>
      <c r="I425" s="778"/>
    </row>
    <row r="426" spans="2:9" x14ac:dyDescent="0.25">
      <c r="B426" s="21" t="s">
        <v>603</v>
      </c>
      <c r="C426" s="749"/>
      <c r="D426" s="754"/>
      <c r="E426" s="751"/>
      <c r="F426" s="742"/>
      <c r="G426" s="752"/>
      <c r="H426" s="22">
        <f>SUM(H423:H425)</f>
        <v>11820</v>
      </c>
      <c r="I426" s="778"/>
    </row>
    <row r="427" spans="2:9" ht="16.5" thickBot="1" x14ac:dyDescent="0.3">
      <c r="B427" s="23"/>
      <c r="C427" s="755"/>
      <c r="D427" s="755"/>
      <c r="E427" s="755"/>
      <c r="F427" s="755"/>
      <c r="G427" s="755"/>
      <c r="H427" s="24"/>
      <c r="I427" s="779"/>
    </row>
    <row r="428" spans="2:9" ht="16.5" thickTop="1" x14ac:dyDescent="0.25">
      <c r="B428" s="21" t="s">
        <v>42</v>
      </c>
      <c r="C428" s="749"/>
      <c r="D428" s="750"/>
      <c r="E428" s="751"/>
      <c r="F428" s="742" t="s">
        <v>346</v>
      </c>
      <c r="G428" s="752"/>
      <c r="H428" s="22"/>
      <c r="I428" s="778"/>
    </row>
    <row r="429" spans="2:9" x14ac:dyDescent="0.25">
      <c r="B429" s="21"/>
      <c r="C429" s="749"/>
      <c r="D429" s="750"/>
      <c r="E429" s="751"/>
      <c r="F429" s="742"/>
      <c r="G429" s="752"/>
      <c r="H429" s="15">
        <f>+G429*F429</f>
        <v>0</v>
      </c>
      <c r="I429" s="778"/>
    </row>
    <row r="430" spans="2:9" x14ac:dyDescent="0.25">
      <c r="B430" s="21"/>
      <c r="C430" s="749"/>
      <c r="D430" s="754"/>
      <c r="E430" s="751"/>
      <c r="F430" s="742"/>
      <c r="G430" s="752"/>
      <c r="H430" s="15">
        <f>+G430*F430</f>
        <v>0</v>
      </c>
      <c r="I430" s="778"/>
    </row>
    <row r="431" spans="2:9" x14ac:dyDescent="0.25">
      <c r="B431" s="21" t="s">
        <v>604</v>
      </c>
      <c r="C431" s="749"/>
      <c r="D431" s="754"/>
      <c r="E431" s="751"/>
      <c r="F431" s="742"/>
      <c r="G431" s="752"/>
      <c r="H431" s="22"/>
      <c r="I431" s="778"/>
    </row>
    <row r="432" spans="2:9" ht="16.5" thickBot="1" x14ac:dyDescent="0.3">
      <c r="B432" s="23"/>
      <c r="C432" s="755"/>
      <c r="D432" s="755"/>
      <c r="E432" s="755"/>
      <c r="F432" s="755"/>
      <c r="G432" s="755"/>
      <c r="H432" s="24"/>
      <c r="I432" s="779"/>
    </row>
    <row r="433" spans="2:9" ht="16.5" thickTop="1" x14ac:dyDescent="0.25">
      <c r="B433" s="21" t="s">
        <v>43</v>
      </c>
      <c r="C433" s="749" t="s">
        <v>346</v>
      </c>
      <c r="D433" s="750" t="s">
        <v>657</v>
      </c>
      <c r="E433" s="751"/>
      <c r="F433" s="742">
        <v>12</v>
      </c>
      <c r="G433" s="752">
        <v>357</v>
      </c>
      <c r="H433" s="15">
        <f>+G433*F433</f>
        <v>4284</v>
      </c>
      <c r="I433" s="778"/>
    </row>
    <row r="434" spans="2:9" x14ac:dyDescent="0.25">
      <c r="B434" s="21"/>
      <c r="C434" s="749"/>
      <c r="D434" s="750"/>
      <c r="E434" s="751"/>
      <c r="F434" s="742"/>
      <c r="G434" s="752"/>
      <c r="H434" s="15">
        <f>+G434*F434</f>
        <v>0</v>
      </c>
      <c r="I434" s="778"/>
    </row>
    <row r="435" spans="2:9" x14ac:dyDescent="0.25">
      <c r="B435" s="21"/>
      <c r="C435" s="749"/>
      <c r="D435" s="754"/>
      <c r="E435" s="751"/>
      <c r="F435" s="742"/>
      <c r="G435" s="752"/>
      <c r="H435" s="15">
        <f>+G435*F435</f>
        <v>0</v>
      </c>
      <c r="I435" s="778"/>
    </row>
    <row r="436" spans="2:9" x14ac:dyDescent="0.25">
      <c r="B436" s="21" t="s">
        <v>605</v>
      </c>
      <c r="C436" s="749"/>
      <c r="D436" s="754"/>
      <c r="E436" s="751"/>
      <c r="F436" s="742"/>
      <c r="G436" s="752"/>
      <c r="H436" s="22">
        <f>SUM(H432:H435)</f>
        <v>4284</v>
      </c>
      <c r="I436" s="778"/>
    </row>
    <row r="437" spans="2:9" ht="16.5" thickBot="1" x14ac:dyDescent="0.3">
      <c r="B437" s="23"/>
      <c r="C437" s="755"/>
      <c r="D437" s="755"/>
      <c r="E437" s="755"/>
      <c r="F437" s="755"/>
      <c r="G437" s="755"/>
      <c r="H437" s="24"/>
      <c r="I437" s="779"/>
    </row>
    <row r="438" spans="2:9" ht="16.5" thickTop="1" x14ac:dyDescent="0.25">
      <c r="B438" s="21" t="s">
        <v>41</v>
      </c>
      <c r="C438" s="749"/>
      <c r="D438" s="750"/>
      <c r="E438" s="751"/>
      <c r="F438" s="742"/>
      <c r="G438" s="752"/>
      <c r="H438" s="15">
        <f>+G438*F438</f>
        <v>0</v>
      </c>
      <c r="I438" s="778"/>
    </row>
    <row r="439" spans="2:9" x14ac:dyDescent="0.25">
      <c r="B439" s="21"/>
      <c r="C439" s="749"/>
      <c r="D439" s="750"/>
      <c r="E439" s="751"/>
      <c r="F439" s="742"/>
      <c r="G439" s="752"/>
      <c r="H439" s="15">
        <f>+G439*F439</f>
        <v>0</v>
      </c>
      <c r="I439" s="778"/>
    </row>
    <row r="440" spans="2:9" x14ac:dyDescent="0.25">
      <c r="B440" s="21"/>
      <c r="C440" s="749"/>
      <c r="D440" s="754"/>
      <c r="E440" s="751"/>
      <c r="F440" s="742"/>
      <c r="G440" s="752"/>
      <c r="H440" s="15">
        <f>+G440*F440</f>
        <v>0</v>
      </c>
      <c r="I440" s="778"/>
    </row>
    <row r="441" spans="2:9" x14ac:dyDescent="0.25">
      <c r="B441" s="21" t="s">
        <v>606</v>
      </c>
      <c r="C441" s="749"/>
      <c r="D441" s="754"/>
      <c r="E441" s="751"/>
      <c r="F441" s="742"/>
      <c r="G441" s="752"/>
      <c r="H441" s="22">
        <f>SUM(H437:H440)</f>
        <v>0</v>
      </c>
      <c r="I441" s="778"/>
    </row>
    <row r="442" spans="2:9" ht="16.5" thickBot="1" x14ac:dyDescent="0.3">
      <c r="B442" s="23"/>
      <c r="C442" s="755"/>
      <c r="D442" s="755"/>
      <c r="E442" s="755"/>
      <c r="F442" s="755"/>
      <c r="G442" s="755"/>
      <c r="H442" s="24"/>
      <c r="I442" s="779"/>
    </row>
    <row r="443" spans="2:9" ht="16.5" thickTop="1" x14ac:dyDescent="0.25">
      <c r="B443" s="21" t="s">
        <v>46</v>
      </c>
      <c r="C443" s="749"/>
      <c r="D443" s="750"/>
      <c r="E443" s="751"/>
      <c r="F443" s="742">
        <v>12</v>
      </c>
      <c r="G443" s="752">
        <v>28</v>
      </c>
      <c r="H443" s="15">
        <f>+G443*F443</f>
        <v>336</v>
      </c>
      <c r="I443" s="778"/>
    </row>
    <row r="444" spans="2:9" x14ac:dyDescent="0.25">
      <c r="B444" s="21"/>
      <c r="C444" s="749"/>
      <c r="D444" s="750"/>
      <c r="E444" s="751"/>
      <c r="F444" s="742"/>
      <c r="G444" s="752"/>
      <c r="H444" s="15">
        <f>+G444*F444</f>
        <v>0</v>
      </c>
      <c r="I444" s="778"/>
    </row>
    <row r="445" spans="2:9" x14ac:dyDescent="0.25">
      <c r="B445" s="21"/>
      <c r="C445" s="749"/>
      <c r="D445" s="754"/>
      <c r="E445" s="751"/>
      <c r="F445" s="742"/>
      <c r="G445" s="752"/>
      <c r="H445" s="15">
        <f>+G445*F445</f>
        <v>0</v>
      </c>
      <c r="I445" s="778"/>
    </row>
    <row r="446" spans="2:9" x14ac:dyDescent="0.25">
      <c r="B446" s="21" t="s">
        <v>607</v>
      </c>
      <c r="C446" s="749"/>
      <c r="D446" s="754"/>
      <c r="E446" s="751"/>
      <c r="F446" s="742"/>
      <c r="G446" s="752"/>
      <c r="H446" s="22">
        <f>SUM(H442:H445)</f>
        <v>336</v>
      </c>
      <c r="I446" s="778"/>
    </row>
    <row r="447" spans="2:9" ht="16.5" thickBot="1" x14ac:dyDescent="0.3">
      <c r="B447" s="23"/>
      <c r="C447" s="755"/>
      <c r="D447" s="755"/>
      <c r="E447" s="755"/>
      <c r="F447" s="755"/>
      <c r="G447" s="755"/>
      <c r="H447" s="24"/>
      <c r="I447" s="779"/>
    </row>
    <row r="448" spans="2:9" ht="16.5" thickTop="1" x14ac:dyDescent="0.25">
      <c r="B448" s="21" t="s">
        <v>580</v>
      </c>
      <c r="C448" s="749"/>
      <c r="D448" s="750"/>
      <c r="E448" s="751"/>
      <c r="F448" s="742"/>
      <c r="G448" s="752"/>
      <c r="H448" s="15">
        <f>+G448*F448</f>
        <v>0</v>
      </c>
      <c r="I448" s="778"/>
    </row>
    <row r="449" spans="2:9" x14ac:dyDescent="0.25">
      <c r="B449" s="21"/>
      <c r="C449" s="749"/>
      <c r="D449" s="750"/>
      <c r="E449" s="751"/>
      <c r="F449" s="742"/>
      <c r="G449" s="752"/>
      <c r="H449" s="15">
        <f>+G449*F449</f>
        <v>0</v>
      </c>
      <c r="I449" s="778"/>
    </row>
    <row r="450" spans="2:9" x14ac:dyDescent="0.25">
      <c r="B450" s="21"/>
      <c r="C450" s="749"/>
      <c r="D450" s="754"/>
      <c r="E450" s="751"/>
      <c r="F450" s="742"/>
      <c r="G450" s="752"/>
      <c r="H450" s="15">
        <f>+G450*F450</f>
        <v>0</v>
      </c>
      <c r="I450" s="778"/>
    </row>
    <row r="451" spans="2:9" x14ac:dyDescent="0.25">
      <c r="B451" s="21" t="s">
        <v>608</v>
      </c>
      <c r="C451" s="749"/>
      <c r="D451" s="754"/>
      <c r="E451" s="751"/>
      <c r="F451" s="742"/>
      <c r="G451" s="752"/>
      <c r="H451" s="22">
        <f>SUM(H447:H450)</f>
        <v>0</v>
      </c>
      <c r="I451" s="778"/>
    </row>
    <row r="452" spans="2:9" ht="16.5" thickBot="1" x14ac:dyDescent="0.3">
      <c r="B452" s="23"/>
      <c r="C452" s="755"/>
      <c r="D452" s="755"/>
      <c r="E452" s="755"/>
      <c r="F452" s="755"/>
      <c r="G452" s="755"/>
      <c r="H452" s="24"/>
      <c r="I452" s="779"/>
    </row>
    <row r="453" spans="2:9" ht="16.5" thickTop="1" x14ac:dyDescent="0.25"/>
  </sheetData>
  <sheetProtection algorithmName="SHA-512" hashValue="p1WnmfscvZJJKlXKbeWxfr/RoCTI5Sc4LBGwibA8Mco10FtkyZkgmhlXFnCVBnoT06AwZqLPuLQ5StIyOL8q+A==" saltValue="+qE8vcA6stgMXWfVS4PuIg==" spinCount="100000" sheet="1" insertRows="0"/>
  <protectedRanges>
    <protectedRange sqref="C19" name="Range1_1_7_1_1_1_1"/>
    <protectedRange sqref="D55" name="Range1_1_2_1_1_1"/>
    <protectedRange sqref="D80:D81" name="Range1_1_4_1_1_1_1"/>
    <protectedRange sqref="D105:E106" name="Range1_1_1_1_1"/>
    <protectedRange sqref="F105:G106" name="Range1_1_8_1_1_2"/>
    <protectedRange sqref="C132:C135 C157 C162" name="Range1_1_3_1_2_1"/>
    <protectedRange sqref="D85" name="Range1_1_5_1_1_1_1"/>
    <protectedRange sqref="D54 C56:C59 D64 C91:C94 C85 D79 C71:C78 C51:C53 C62:C63 C65:C69" name="Range1_1_1_3_1_1_1"/>
    <protectedRange sqref="C50" name="Range1_1_8_2_1_1_1"/>
    <protectedRange sqref="C55" name="Range1_1_18_2_1_1_1"/>
    <protectedRange sqref="C60:C61" name="Range1_1_19_1_1_1_1"/>
    <protectedRange sqref="C70" name="Range1_1_20_1_1_1_1"/>
    <protectedRange sqref="C80:C90" name="Range1_1_21_1_1_1_1"/>
    <protectedRange sqref="C95:C131 C154:C156 C159:C161" name="Range1_1_22_1_1_1_1"/>
    <protectedRange sqref="E175 C180:D183 C185:D185 C192:D192 C173:D173 D171:D172 C200:D200 C207:D207 C222:D222 D215 C175:C178 D176:D178" name="Range1_1_4_2_1_2"/>
    <protectedRange sqref="C172" name="Range1_1_1_9_1_1_2"/>
    <protectedRange sqref="C171" name="Range1_1_10_1_1_2"/>
    <protectedRange sqref="C190:D190 C188:D188 C191 C205:D205 C203:D203 C206 C220:D220 C218:D218 C221" name="Range1_1_1_4_1_1_2"/>
    <protectedRange sqref="C186:D187 C201:D202 C216:D217" name="Range1_1_24_1_1_3"/>
    <protectedRange sqref="D191 D206 D221" name="Range1_1_1_2_1_1_1_2"/>
    <protectedRange sqref="C251 C246:C249" name="Range1_1_1_5_1_1_3"/>
    <protectedRange sqref="C252" name="Range1_1_25_1_1_4"/>
    <protectedRange sqref="C276:D278 C274:D274" name="Range1_1_1_6_1_1_3"/>
    <protectedRange sqref="D272:D273" name="Range1_1_13_2_1_1_3"/>
    <protectedRange sqref="C272:C273" name="Range1_1_26_1_1_4"/>
    <protectedRange sqref="C282:C283" name="Range1_1_14_3_1_3"/>
    <protectedRange sqref="C282:C283" name="Range1_1_14_1_1_1_3"/>
    <protectedRange sqref="D287" name="Range1_1_14_2_1_1_3"/>
    <protectedRange sqref="D307" name="Range1_1_15_1_1_3"/>
    <protectedRange sqref="C327:G328 C337:G338 C342:G343 C352:G353 C357:G358 C362:G363 C376:G377 C381:G382 C386:G387 C367:G368 C391:G392" name="Range1_1_18_1_1_3"/>
    <protectedRange sqref="C292:C293" name="Range1_1_3_1_1_1_3"/>
  </protectedRanges>
  <pageMargins left="0.75" right="0.75" top="0.8" bottom="0.19" header="0.23" footer="0.17"/>
  <headerFooter alignWithMargins="0">
    <oddHeader>&amp;C&amp;"Calibri,Bold"&amp;14&amp;F
&amp;A</oddHeader>
  </headerFooter>
  <rowBreaks count="1" manualBreakCount="1">
    <brk id="23" max="16383"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92D050"/>
    <pageSetUpPr fitToPage="1"/>
  </sheetPr>
  <dimension ref="A1:K57"/>
  <sheetViews>
    <sheetView topLeftCell="A31" workbookViewId="0">
      <pane xSplit="1" topLeftCell="C1" activePane="topRight" state="frozen"/>
      <selection activeCell="D41" sqref="D41"/>
      <selection pane="topRight" activeCell="D17" sqref="D17"/>
    </sheetView>
  </sheetViews>
  <sheetFormatPr defaultColWidth="8.85546875" defaultRowHeight="12.75" x14ac:dyDescent="0.2"/>
  <cols>
    <col min="1" max="2" width="38.42578125" style="1" customWidth="1"/>
    <col min="3" max="3" width="34.42578125" style="1" bestFit="1" customWidth="1"/>
    <col min="4" max="4" width="12.42578125" style="1" customWidth="1"/>
    <col min="5" max="5" width="7.42578125" style="1" customWidth="1"/>
    <col min="6" max="7" width="17.85546875" style="1" customWidth="1"/>
    <col min="8" max="8" width="14.42578125" style="1" customWidth="1"/>
    <col min="9" max="9" width="10.140625" style="1" customWidth="1"/>
    <col min="10" max="10" width="9" style="1" bestFit="1" customWidth="1"/>
    <col min="11" max="11" width="38.42578125" style="1" customWidth="1"/>
    <col min="12" max="16384" width="8.85546875" style="1"/>
  </cols>
  <sheetData>
    <row r="1" spans="1:11" ht="16.5" thickBot="1" x14ac:dyDescent="0.3">
      <c r="A1" s="25" t="s">
        <v>128</v>
      </c>
      <c r="B1" s="25"/>
      <c r="C1" s="26"/>
      <c r="D1" s="26"/>
      <c r="E1" s="26"/>
      <c r="F1" s="26"/>
      <c r="G1" s="26"/>
      <c r="H1" s="26"/>
      <c r="I1" s="26"/>
      <c r="J1" s="26"/>
      <c r="K1" s="26"/>
    </row>
    <row r="2" spans="1:11" ht="60" x14ac:dyDescent="0.25">
      <c r="A2" s="27" t="s">
        <v>168</v>
      </c>
      <c r="B2" s="27" t="s">
        <v>129</v>
      </c>
      <c r="C2" s="28" t="s">
        <v>130</v>
      </c>
      <c r="D2" s="29" t="s">
        <v>649</v>
      </c>
      <c r="E2" s="30" t="s">
        <v>132</v>
      </c>
      <c r="F2" s="31" t="s">
        <v>133</v>
      </c>
      <c r="G2" s="492" t="s">
        <v>551</v>
      </c>
      <c r="H2" s="28" t="s">
        <v>552</v>
      </c>
      <c r="I2" s="32" t="s">
        <v>646</v>
      </c>
      <c r="J2" s="852" t="s">
        <v>648</v>
      </c>
      <c r="K2" s="33" t="s">
        <v>135</v>
      </c>
    </row>
    <row r="3" spans="1:11" x14ac:dyDescent="0.2">
      <c r="A3" s="565"/>
      <c r="B3" s="561"/>
      <c r="C3" s="562"/>
      <c r="D3" s="566"/>
      <c r="E3" s="567"/>
      <c r="F3" s="568"/>
      <c r="G3" s="568"/>
      <c r="H3" s="569"/>
      <c r="I3" s="570"/>
      <c r="J3" s="853"/>
      <c r="K3" s="574"/>
    </row>
    <row r="4" spans="1:11" x14ac:dyDescent="0.2">
      <c r="A4" s="571" t="s">
        <v>1</v>
      </c>
      <c r="B4" s="565"/>
      <c r="C4" s="572"/>
      <c r="D4" s="563"/>
      <c r="E4" s="573"/>
      <c r="F4" s="553"/>
      <c r="G4" s="553"/>
      <c r="H4" s="552"/>
      <c r="I4" s="570"/>
      <c r="J4" s="853"/>
      <c r="K4" s="574"/>
    </row>
    <row r="5" spans="1:11" x14ac:dyDescent="0.2">
      <c r="A5" s="848"/>
      <c r="B5" s="581"/>
      <c r="C5" s="582"/>
      <c r="D5" s="583"/>
      <c r="E5" s="584">
        <v>1</v>
      </c>
      <c r="F5" s="585">
        <f>+D5*E5</f>
        <v>0</v>
      </c>
      <c r="G5" s="585"/>
      <c r="H5" s="586">
        <f>G5*E5</f>
        <v>0</v>
      </c>
      <c r="I5" s="851">
        <f>F5*0.0765</f>
        <v>0</v>
      </c>
      <c r="J5" s="851"/>
      <c r="K5" s="804"/>
    </row>
    <row r="6" spans="1:11" x14ac:dyDescent="0.2">
      <c r="A6" s="848"/>
      <c r="B6" s="581"/>
      <c r="C6" s="589"/>
      <c r="D6" s="583"/>
      <c r="E6" s="584">
        <v>1</v>
      </c>
      <c r="F6" s="585">
        <f t="shared" ref="F6:F9" si="0">+D6*E6</f>
        <v>0</v>
      </c>
      <c r="G6" s="585"/>
      <c r="H6" s="586">
        <f t="shared" ref="H6:H12" si="1">G6*E6</f>
        <v>0</v>
      </c>
      <c r="I6" s="851">
        <f t="shared" ref="I6:I10" si="2">F6*0.0765</f>
        <v>0</v>
      </c>
      <c r="J6" s="851"/>
      <c r="K6" s="804"/>
    </row>
    <row r="7" spans="1:11" x14ac:dyDescent="0.2">
      <c r="A7" s="848"/>
      <c r="B7" s="581"/>
      <c r="C7" s="582"/>
      <c r="D7" s="583"/>
      <c r="E7" s="584">
        <v>1</v>
      </c>
      <c r="F7" s="585">
        <f t="shared" si="0"/>
        <v>0</v>
      </c>
      <c r="G7" s="585"/>
      <c r="H7" s="586">
        <f t="shared" si="1"/>
        <v>0</v>
      </c>
      <c r="I7" s="851">
        <f t="shared" si="2"/>
        <v>0</v>
      </c>
      <c r="J7" s="851"/>
      <c r="K7" s="804"/>
    </row>
    <row r="8" spans="1:11" x14ac:dyDescent="0.2">
      <c r="A8" s="848"/>
      <c r="B8" s="581"/>
      <c r="C8" s="582"/>
      <c r="D8" s="583"/>
      <c r="E8" s="584">
        <v>1</v>
      </c>
      <c r="F8" s="585">
        <f t="shared" si="0"/>
        <v>0</v>
      </c>
      <c r="G8" s="585"/>
      <c r="H8" s="586">
        <f t="shared" si="1"/>
        <v>0</v>
      </c>
      <c r="I8" s="851">
        <f t="shared" si="2"/>
        <v>0</v>
      </c>
      <c r="J8" s="851"/>
      <c r="K8" s="588"/>
    </row>
    <row r="9" spans="1:11" x14ac:dyDescent="0.2">
      <c r="A9" s="848"/>
      <c r="B9" s="581"/>
      <c r="C9" s="589"/>
      <c r="D9" s="583"/>
      <c r="E9" s="584">
        <v>1</v>
      </c>
      <c r="F9" s="585">
        <f t="shared" si="0"/>
        <v>0</v>
      </c>
      <c r="G9" s="585"/>
      <c r="H9" s="586">
        <f t="shared" si="1"/>
        <v>0</v>
      </c>
      <c r="I9" s="851">
        <f>F9*0.0765</f>
        <v>0</v>
      </c>
      <c r="J9" s="851"/>
      <c r="K9" s="588"/>
    </row>
    <row r="10" spans="1:11" x14ac:dyDescent="0.2">
      <c r="A10" s="848"/>
      <c r="B10" s="581"/>
      <c r="C10" s="589"/>
      <c r="D10" s="583"/>
      <c r="E10" s="584">
        <v>1</v>
      </c>
      <c r="F10" s="585"/>
      <c r="G10" s="585"/>
      <c r="H10" s="586">
        <f t="shared" si="1"/>
        <v>0</v>
      </c>
      <c r="I10" s="851">
        <f t="shared" si="2"/>
        <v>0</v>
      </c>
      <c r="J10" s="851"/>
      <c r="K10" s="590"/>
    </row>
    <row r="11" spans="1:11" x14ac:dyDescent="0.2">
      <c r="A11" s="580"/>
      <c r="B11" s="581"/>
      <c r="C11" s="589"/>
      <c r="D11" s="583"/>
      <c r="E11" s="584">
        <v>1</v>
      </c>
      <c r="F11" s="585"/>
      <c r="G11" s="585"/>
      <c r="H11" s="586">
        <f t="shared" si="1"/>
        <v>0</v>
      </c>
      <c r="I11" s="587"/>
      <c r="J11" s="854"/>
      <c r="K11" s="590"/>
    </row>
    <row r="12" spans="1:11" x14ac:dyDescent="0.2">
      <c r="A12" s="581"/>
      <c r="B12" s="591"/>
      <c r="C12" s="592"/>
      <c r="D12" s="593"/>
      <c r="E12" s="584">
        <v>1</v>
      </c>
      <c r="F12" s="585"/>
      <c r="G12" s="585"/>
      <c r="H12" s="586">
        <f t="shared" si="1"/>
        <v>0</v>
      </c>
      <c r="I12" s="587"/>
      <c r="J12" s="854"/>
      <c r="K12" s="590"/>
    </row>
    <row r="13" spans="1:11" ht="13.5" thickBot="1" x14ac:dyDescent="0.25">
      <c r="A13" s="560" t="s">
        <v>340</v>
      </c>
      <c r="B13" s="561"/>
      <c r="C13" s="562"/>
      <c r="D13" s="563"/>
      <c r="E13" s="564"/>
      <c r="F13" s="554">
        <f>SUM(F5:F12)</f>
        <v>0</v>
      </c>
      <c r="G13" s="554"/>
      <c r="H13" s="555">
        <f>SUM(H5:H12)</f>
        <v>0</v>
      </c>
      <c r="I13" s="555">
        <f>SUM(I5:I12)</f>
        <v>0</v>
      </c>
      <c r="J13" s="855"/>
      <c r="K13" s="575"/>
    </row>
    <row r="14" spans="1:11" ht="30" x14ac:dyDescent="0.25">
      <c r="A14" s="27"/>
      <c r="B14" s="27"/>
      <c r="C14" s="27"/>
      <c r="D14" s="27"/>
      <c r="E14" s="27"/>
      <c r="F14" s="27"/>
      <c r="G14" s="27" t="s">
        <v>551</v>
      </c>
      <c r="H14" s="27" t="s">
        <v>552</v>
      </c>
      <c r="I14" s="27"/>
      <c r="J14" s="27"/>
      <c r="K14" s="27"/>
    </row>
    <row r="15" spans="1:11" x14ac:dyDescent="0.2">
      <c r="A15" s="571" t="s">
        <v>2</v>
      </c>
      <c r="B15" s="561"/>
      <c r="C15" s="562" t="s">
        <v>346</v>
      </c>
      <c r="D15" s="563"/>
      <c r="E15" s="564"/>
      <c r="F15" s="553"/>
      <c r="G15" s="553"/>
      <c r="H15" s="552"/>
      <c r="I15" s="570"/>
      <c r="J15" s="853"/>
      <c r="K15" s="575"/>
    </row>
    <row r="16" spans="1:11" x14ac:dyDescent="0.2">
      <c r="A16" s="581" t="s">
        <v>651</v>
      </c>
      <c r="B16" s="581" t="s">
        <v>652</v>
      </c>
      <c r="C16" s="589" t="s">
        <v>651</v>
      </c>
      <c r="D16" s="583">
        <v>50000</v>
      </c>
      <c r="E16" s="584">
        <v>0.16</v>
      </c>
      <c r="F16" s="595">
        <f>+D16*E16</f>
        <v>8000</v>
      </c>
      <c r="G16" s="585">
        <v>14400</v>
      </c>
      <c r="H16" s="586">
        <f t="shared" ref="H16:H19" si="3">G16*E16</f>
        <v>2304</v>
      </c>
      <c r="I16" s="851">
        <f t="shared" ref="I16:I19" si="4">F16*0.0765</f>
        <v>612</v>
      </c>
      <c r="J16" s="851"/>
      <c r="K16" s="588"/>
    </row>
    <row r="17" spans="1:11" x14ac:dyDescent="0.2">
      <c r="A17" s="581"/>
      <c r="B17" s="591"/>
      <c r="C17" s="589"/>
      <c r="D17" s="583"/>
      <c r="E17" s="584">
        <f>'2021 Budget'!$G$5/'2021 Budget'!$G$4</f>
        <v>0.19753086419753085</v>
      </c>
      <c r="F17" s="595"/>
      <c r="G17" s="595"/>
      <c r="H17" s="586">
        <f t="shared" si="3"/>
        <v>0</v>
      </c>
      <c r="I17" s="851">
        <f t="shared" si="4"/>
        <v>0</v>
      </c>
      <c r="J17" s="851"/>
      <c r="K17" s="588"/>
    </row>
    <row r="18" spans="1:11" x14ac:dyDescent="0.2">
      <c r="A18" s="581"/>
      <c r="B18" s="591"/>
      <c r="C18" s="589"/>
      <c r="D18" s="583"/>
      <c r="E18" s="584">
        <f>'2021 Budget'!$G$5/'2021 Budget'!$G$4</f>
        <v>0.19753086419753085</v>
      </c>
      <c r="F18" s="595"/>
      <c r="G18" s="595"/>
      <c r="H18" s="586">
        <f t="shared" si="3"/>
        <v>0</v>
      </c>
      <c r="I18" s="851">
        <f t="shared" si="4"/>
        <v>0</v>
      </c>
      <c r="J18" s="851"/>
      <c r="K18" s="588"/>
    </row>
    <row r="19" spans="1:11" x14ac:dyDescent="0.2">
      <c r="A19" s="581"/>
      <c r="B19" s="591"/>
      <c r="C19" s="589"/>
      <c r="D19" s="583"/>
      <c r="E19" s="584">
        <f>'2021 Budget'!$G$5/'2021 Budget'!$G$4</f>
        <v>0.19753086419753085</v>
      </c>
      <c r="F19" s="595"/>
      <c r="G19" s="595"/>
      <c r="H19" s="586">
        <f t="shared" si="3"/>
        <v>0</v>
      </c>
      <c r="I19" s="851">
        <f t="shared" si="4"/>
        <v>0</v>
      </c>
      <c r="J19" s="851"/>
      <c r="K19" s="588"/>
    </row>
    <row r="20" spans="1:11" ht="13.5" thickBot="1" x14ac:dyDescent="0.25">
      <c r="A20" s="560" t="s">
        <v>341</v>
      </c>
      <c r="B20" s="561"/>
      <c r="C20" s="562"/>
      <c r="D20" s="563"/>
      <c r="E20" s="564"/>
      <c r="F20" s="553">
        <f>SUM(F16:F19)</f>
        <v>8000</v>
      </c>
      <c r="G20" s="553"/>
      <c r="H20" s="553">
        <f>SUM(H16:H19)</f>
        <v>2304</v>
      </c>
      <c r="I20" s="553">
        <f>SUM(I16:I19)</f>
        <v>612</v>
      </c>
      <c r="J20" s="856"/>
      <c r="K20" s="575"/>
    </row>
    <row r="21" spans="1:11" ht="30" x14ac:dyDescent="0.25">
      <c r="A21" s="27"/>
      <c r="B21" s="27"/>
      <c r="C21" s="27"/>
      <c r="D21" s="27"/>
      <c r="E21" s="27"/>
      <c r="F21" s="27"/>
      <c r="G21" s="28" t="s">
        <v>551</v>
      </c>
      <c r="H21" s="28" t="s">
        <v>552</v>
      </c>
      <c r="I21" s="27"/>
      <c r="J21" s="27"/>
      <c r="K21" s="27"/>
    </row>
    <row r="22" spans="1:11" x14ac:dyDescent="0.2">
      <c r="A22" s="571" t="s">
        <v>86</v>
      </c>
      <c r="B22" s="561"/>
      <c r="C22" s="562"/>
      <c r="D22" s="563"/>
      <c r="E22" s="564"/>
      <c r="F22" s="553"/>
      <c r="G22" s="553"/>
      <c r="H22" s="552"/>
      <c r="I22" s="570"/>
      <c r="J22" s="853"/>
      <c r="K22" s="575"/>
    </row>
    <row r="23" spans="1:11" x14ac:dyDescent="0.2">
      <c r="A23" s="581"/>
      <c r="B23" s="591"/>
      <c r="C23" s="589"/>
      <c r="D23" s="583"/>
      <c r="E23" s="584">
        <f>'2021 Budget'!$G$5/'2021 Budget'!$G$4</f>
        <v>0.19753086419753085</v>
      </c>
      <c r="F23" s="595"/>
      <c r="G23" s="595"/>
      <c r="H23" s="586">
        <f t="shared" ref="H23:H26" si="5">G23*E23</f>
        <v>0</v>
      </c>
      <c r="I23" s="851">
        <f t="shared" ref="I23:I26" si="6">F23*0.0765</f>
        <v>0</v>
      </c>
      <c r="J23" s="851"/>
      <c r="K23" s="590"/>
    </row>
    <row r="24" spans="1:11" x14ac:dyDescent="0.2">
      <c r="A24" s="581"/>
      <c r="B24" s="591"/>
      <c r="C24" s="589"/>
      <c r="D24" s="583"/>
      <c r="E24" s="584">
        <f>'2021 Budget'!$G$5/'2021 Budget'!$G$4</f>
        <v>0.19753086419753085</v>
      </c>
      <c r="F24" s="595"/>
      <c r="G24" s="595"/>
      <c r="H24" s="586">
        <f t="shared" si="5"/>
        <v>0</v>
      </c>
      <c r="I24" s="851">
        <f t="shared" si="6"/>
        <v>0</v>
      </c>
      <c r="J24" s="851"/>
      <c r="K24" s="590"/>
    </row>
    <row r="25" spans="1:11" x14ac:dyDescent="0.2">
      <c r="A25" s="581"/>
      <c r="B25" s="591"/>
      <c r="C25" s="589"/>
      <c r="D25" s="583"/>
      <c r="E25" s="584">
        <f>'2021 Budget'!$G$5/'2021 Budget'!$G$4</f>
        <v>0.19753086419753085</v>
      </c>
      <c r="F25" s="595"/>
      <c r="G25" s="595"/>
      <c r="H25" s="586">
        <f t="shared" si="5"/>
        <v>0</v>
      </c>
      <c r="I25" s="851">
        <f t="shared" si="6"/>
        <v>0</v>
      </c>
      <c r="J25" s="851"/>
      <c r="K25" s="590"/>
    </row>
    <row r="26" spans="1:11" x14ac:dyDescent="0.2">
      <c r="A26" s="581"/>
      <c r="B26" s="591"/>
      <c r="C26" s="592"/>
      <c r="D26" s="593"/>
      <c r="E26" s="584">
        <f>'2021 Budget'!$G$5/'2021 Budget'!$G$4</f>
        <v>0.19753086419753085</v>
      </c>
      <c r="F26" s="595"/>
      <c r="G26" s="595"/>
      <c r="H26" s="586">
        <f t="shared" si="5"/>
        <v>0</v>
      </c>
      <c r="I26" s="851">
        <f t="shared" si="6"/>
        <v>0</v>
      </c>
      <c r="J26" s="851"/>
      <c r="K26" s="590"/>
    </row>
    <row r="27" spans="1:11" ht="13.5" thickBot="1" x14ac:dyDescent="0.25">
      <c r="A27" s="560" t="s">
        <v>342</v>
      </c>
      <c r="B27" s="561"/>
      <c r="C27" s="562"/>
      <c r="D27" s="563"/>
      <c r="E27" s="564"/>
      <c r="F27" s="553">
        <f>SUM(F23:F26)</f>
        <v>0</v>
      </c>
      <c r="G27" s="553"/>
      <c r="H27" s="553">
        <f>SUM(H23:H26)</f>
        <v>0</v>
      </c>
      <c r="I27" s="553">
        <f>SUM(I23:I26)</f>
        <v>0</v>
      </c>
      <c r="J27" s="856"/>
      <c r="K27" s="575"/>
    </row>
    <row r="28" spans="1:11" ht="15" x14ac:dyDescent="0.25">
      <c r="A28" s="27"/>
      <c r="B28" s="27"/>
      <c r="C28" s="27"/>
      <c r="D28" s="27"/>
      <c r="E28" s="27"/>
      <c r="F28" s="27"/>
      <c r="G28" s="28"/>
      <c r="H28" s="28"/>
      <c r="I28" s="27"/>
      <c r="J28" s="27"/>
      <c r="K28" s="27"/>
    </row>
    <row r="29" spans="1:11" x14ac:dyDescent="0.2">
      <c r="A29" s="7"/>
      <c r="B29" s="8"/>
      <c r="C29" s="8"/>
      <c r="D29" s="8"/>
      <c r="E29" s="8"/>
      <c r="F29" s="8"/>
      <c r="G29" s="8"/>
      <c r="H29" s="8"/>
      <c r="I29" s="8"/>
      <c r="J29" s="8"/>
      <c r="K29" s="8"/>
    </row>
    <row r="30" spans="1:11" ht="16.5" thickBot="1" x14ac:dyDescent="0.3">
      <c r="A30" s="17" t="s">
        <v>136</v>
      </c>
      <c r="B30" s="17"/>
      <c r="C30" s="10"/>
      <c r="D30" s="10"/>
      <c r="E30" s="10"/>
      <c r="F30" s="10"/>
      <c r="G30" s="10"/>
      <c r="H30" s="10"/>
      <c r="I30" s="10"/>
      <c r="J30" s="10"/>
      <c r="K30" s="10"/>
    </row>
    <row r="31" spans="1:11" ht="30" x14ac:dyDescent="0.25">
      <c r="A31" s="576" t="s">
        <v>168</v>
      </c>
      <c r="B31" s="576" t="s">
        <v>129</v>
      </c>
      <c r="C31" s="577" t="s">
        <v>130</v>
      </c>
      <c r="D31" s="577"/>
      <c r="E31" s="577" t="s">
        <v>132</v>
      </c>
      <c r="F31" s="577" t="s">
        <v>133</v>
      </c>
      <c r="G31" s="577" t="s">
        <v>551</v>
      </c>
      <c r="H31" s="577" t="s">
        <v>552</v>
      </c>
      <c r="I31" s="578" t="s">
        <v>134</v>
      </c>
      <c r="J31" s="857"/>
      <c r="K31" s="579" t="s">
        <v>135</v>
      </c>
    </row>
    <row r="32" spans="1:11" x14ac:dyDescent="0.2">
      <c r="A32" s="571" t="s">
        <v>12</v>
      </c>
      <c r="B32" s="565"/>
      <c r="C32" s="564"/>
      <c r="D32" s="604"/>
      <c r="E32" s="573"/>
      <c r="F32" s="552"/>
      <c r="G32" s="552"/>
      <c r="H32" s="552"/>
      <c r="I32" s="570"/>
      <c r="J32" s="853"/>
      <c r="K32" s="575"/>
    </row>
    <row r="33" spans="1:11" x14ac:dyDescent="0.2">
      <c r="A33" s="848"/>
      <c r="B33" s="598" t="s">
        <v>656</v>
      </c>
      <c r="C33" s="582"/>
      <c r="D33" s="603"/>
      <c r="E33" s="584">
        <f>'2021 Budget'!$G$5/'2021 Budget'!$G$4</f>
        <v>0.19753086419753085</v>
      </c>
      <c r="F33" s="595"/>
      <c r="G33" s="586"/>
      <c r="H33" s="586">
        <f t="shared" ref="H33:H42" si="7">G33*E33</f>
        <v>0</v>
      </c>
      <c r="I33" s="851">
        <f t="shared" ref="I33:I42" si="8">F33*0.0765</f>
        <v>0</v>
      </c>
      <c r="J33" s="851"/>
      <c r="K33" s="590"/>
    </row>
    <row r="34" spans="1:11" x14ac:dyDescent="0.2">
      <c r="A34" s="848"/>
      <c r="B34" s="803"/>
      <c r="C34" s="803"/>
      <c r="D34" s="603"/>
      <c r="E34" s="584">
        <f>'2021 Budget'!$G$5/'2021 Budget'!$G$4</f>
        <v>0.19753086419753085</v>
      </c>
      <c r="F34" s="595"/>
      <c r="G34" s="586"/>
      <c r="H34" s="586">
        <f t="shared" si="7"/>
        <v>0</v>
      </c>
      <c r="I34" s="851">
        <f t="shared" si="8"/>
        <v>0</v>
      </c>
      <c r="J34" s="851"/>
      <c r="K34" s="590"/>
    </row>
    <row r="35" spans="1:11" x14ac:dyDescent="0.2">
      <c r="A35" s="849" t="s">
        <v>346</v>
      </c>
      <c r="B35" s="598"/>
      <c r="C35" s="582"/>
      <c r="D35" s="599"/>
      <c r="E35" s="584">
        <f>'2021 Budget'!$G$5/'2021 Budget'!$G$4</f>
        <v>0.19753086419753085</v>
      </c>
      <c r="F35" s="595">
        <f>+D35*E35</f>
        <v>0</v>
      </c>
      <c r="G35" s="586"/>
      <c r="H35" s="586">
        <f t="shared" si="7"/>
        <v>0</v>
      </c>
      <c r="I35" s="851">
        <f t="shared" si="8"/>
        <v>0</v>
      </c>
      <c r="J35" s="851"/>
      <c r="K35" s="596"/>
    </row>
    <row r="36" spans="1:11" x14ac:dyDescent="0.2">
      <c r="A36" s="849" t="s">
        <v>346</v>
      </c>
      <c r="B36" s="600"/>
      <c r="C36" s="582"/>
      <c r="D36" s="599"/>
      <c r="E36" s="584">
        <f>'2021 Budget'!$G$5/'2021 Budget'!$G$4</f>
        <v>0.19753086419753085</v>
      </c>
      <c r="F36" s="595">
        <f>+D36*E36</f>
        <v>0</v>
      </c>
      <c r="G36" s="586"/>
      <c r="H36" s="586">
        <f t="shared" si="7"/>
        <v>0</v>
      </c>
      <c r="I36" s="851">
        <f t="shared" si="8"/>
        <v>0</v>
      </c>
      <c r="J36" s="851"/>
      <c r="K36" s="596"/>
    </row>
    <row r="37" spans="1:11" x14ac:dyDescent="0.2">
      <c r="A37" s="849" t="s">
        <v>346</v>
      </c>
      <c r="B37" s="598"/>
      <c r="C37" s="582"/>
      <c r="D37" s="599"/>
      <c r="E37" s="584">
        <f>'2021 Budget'!$G$5/'2021 Budget'!$G$4</f>
        <v>0.19753086419753085</v>
      </c>
      <c r="F37" s="595"/>
      <c r="G37" s="586"/>
      <c r="H37" s="586">
        <f t="shared" si="7"/>
        <v>0</v>
      </c>
      <c r="I37" s="851">
        <f t="shared" si="8"/>
        <v>0</v>
      </c>
      <c r="J37" s="851"/>
      <c r="K37" s="596"/>
    </row>
    <row r="38" spans="1:11" x14ac:dyDescent="0.2">
      <c r="A38" s="601"/>
      <c r="B38" s="600"/>
      <c r="C38" s="582"/>
      <c r="D38" s="599"/>
      <c r="E38" s="584">
        <f>'2021 Budget'!$G$5/'2021 Budget'!$G$4</f>
        <v>0.19753086419753085</v>
      </c>
      <c r="F38" s="595"/>
      <c r="G38" s="586"/>
      <c r="H38" s="586">
        <f t="shared" si="7"/>
        <v>0</v>
      </c>
      <c r="I38" s="851">
        <f t="shared" si="8"/>
        <v>0</v>
      </c>
      <c r="J38" s="851"/>
      <c r="K38" s="596"/>
    </row>
    <row r="39" spans="1:11" x14ac:dyDescent="0.2">
      <c r="A39" s="601"/>
      <c r="B39" s="600"/>
      <c r="C39" s="582" t="s">
        <v>346</v>
      </c>
      <c r="D39" s="599"/>
      <c r="E39" s="584">
        <f>'2021 Budget'!$G$5/'2021 Budget'!$G$4</f>
        <v>0.19753086419753085</v>
      </c>
      <c r="F39" s="595"/>
      <c r="G39" s="586"/>
      <c r="H39" s="586">
        <f t="shared" si="7"/>
        <v>0</v>
      </c>
      <c r="I39" s="851">
        <f t="shared" si="8"/>
        <v>0</v>
      </c>
      <c r="J39" s="851"/>
      <c r="K39" s="596"/>
    </row>
    <row r="40" spans="1:11" x14ac:dyDescent="0.2">
      <c r="A40" s="597"/>
      <c r="B40" s="598"/>
      <c r="C40" s="582"/>
      <c r="D40" s="599"/>
      <c r="E40" s="584">
        <f>'2021 Budget'!$G$5/'2021 Budget'!$G$4</f>
        <v>0.19753086419753085</v>
      </c>
      <c r="F40" s="595"/>
      <c r="G40" s="586"/>
      <c r="H40" s="586">
        <f t="shared" si="7"/>
        <v>0</v>
      </c>
      <c r="I40" s="851">
        <f t="shared" si="8"/>
        <v>0</v>
      </c>
      <c r="J40" s="851"/>
      <c r="K40" s="590"/>
    </row>
    <row r="41" spans="1:11" x14ac:dyDescent="0.2">
      <c r="A41" s="597"/>
      <c r="B41" s="600"/>
      <c r="C41" s="582"/>
      <c r="D41" s="599"/>
      <c r="E41" s="584">
        <f>'2021 Budget'!$G$5/'2021 Budget'!$G$4</f>
        <v>0.19753086419753085</v>
      </c>
      <c r="F41" s="595"/>
      <c r="G41" s="586"/>
      <c r="H41" s="586">
        <f t="shared" si="7"/>
        <v>0</v>
      </c>
      <c r="I41" s="851">
        <f t="shared" si="8"/>
        <v>0</v>
      </c>
      <c r="J41" s="851"/>
      <c r="K41" s="596"/>
    </row>
    <row r="42" spans="1:11" x14ac:dyDescent="0.2">
      <c r="A42" s="581"/>
      <c r="B42" s="600"/>
      <c r="C42" s="589"/>
      <c r="D42" s="602"/>
      <c r="E42" s="584">
        <f>'2021 Budget'!$G$5/'2021 Budget'!$G$4</f>
        <v>0.19753086419753085</v>
      </c>
      <c r="F42" s="603"/>
      <c r="G42" s="603"/>
      <c r="H42" s="586">
        <f t="shared" si="7"/>
        <v>0</v>
      </c>
      <c r="I42" s="851">
        <f t="shared" si="8"/>
        <v>0</v>
      </c>
      <c r="J42" s="851"/>
      <c r="K42" s="590"/>
    </row>
    <row r="43" spans="1:11" x14ac:dyDescent="0.2">
      <c r="A43" s="560" t="s">
        <v>343</v>
      </c>
      <c r="B43" s="561"/>
      <c r="C43" s="572"/>
      <c r="D43" s="563"/>
      <c r="E43" s="564"/>
      <c r="F43" s="551">
        <f>SUM(F33:F42)</f>
        <v>0</v>
      </c>
      <c r="G43" s="551">
        <f>SUM(G33:G42)</f>
        <v>0</v>
      </c>
      <c r="H43" s="551">
        <f>SUM(H33:H42)</f>
        <v>0</v>
      </c>
      <c r="I43" s="551">
        <f>SUM(I33:I42)</f>
        <v>0</v>
      </c>
      <c r="J43" s="858"/>
      <c r="K43" s="575"/>
    </row>
    <row r="44" spans="1:11" ht="15" x14ac:dyDescent="0.25">
      <c r="A44" s="4"/>
      <c r="B44" s="5"/>
      <c r="C44" s="5"/>
      <c r="D44" s="5"/>
      <c r="E44" s="5"/>
      <c r="F44" s="5"/>
      <c r="G44" s="5"/>
      <c r="H44" s="5"/>
      <c r="I44" s="6"/>
      <c r="J44" s="6"/>
      <c r="K44" s="6"/>
    </row>
    <row r="45" spans="1:11" x14ac:dyDescent="0.2">
      <c r="A45" s="605"/>
      <c r="B45" s="605"/>
      <c r="C45" s="605"/>
      <c r="D45" s="605"/>
      <c r="E45" s="605"/>
      <c r="F45" s="605"/>
      <c r="G45" s="605"/>
      <c r="H45" s="605"/>
      <c r="I45" s="605"/>
      <c r="J45" s="605"/>
      <c r="K45" s="605"/>
    </row>
    <row r="46" spans="1:11" ht="16.5" thickBot="1" x14ac:dyDescent="0.3">
      <c r="A46" s="25" t="s">
        <v>137</v>
      </c>
      <c r="B46" s="25"/>
      <c r="C46" s="26"/>
      <c r="D46" s="26"/>
      <c r="E46" s="26"/>
      <c r="F46" s="26"/>
      <c r="G46" s="26"/>
      <c r="H46" s="26"/>
      <c r="I46" s="26"/>
      <c r="J46" s="26"/>
      <c r="K46" s="26"/>
    </row>
    <row r="47" spans="1:11" ht="30" x14ac:dyDescent="0.25">
      <c r="A47" s="27" t="s">
        <v>168</v>
      </c>
      <c r="B47" s="27" t="s">
        <v>129</v>
      </c>
      <c r="C47" s="28" t="s">
        <v>130</v>
      </c>
      <c r="D47" s="28" t="s">
        <v>131</v>
      </c>
      <c r="E47" s="28" t="s">
        <v>132</v>
      </c>
      <c r="F47" s="28" t="s">
        <v>133</v>
      </c>
      <c r="G47" s="28" t="s">
        <v>551</v>
      </c>
      <c r="H47" s="28" t="s">
        <v>552</v>
      </c>
      <c r="I47" s="32" t="s">
        <v>134</v>
      </c>
      <c r="J47" s="852"/>
      <c r="K47" s="33" t="s">
        <v>135</v>
      </c>
    </row>
    <row r="48" spans="1:11" x14ac:dyDescent="0.2">
      <c r="A48" s="660" t="s">
        <v>21</v>
      </c>
      <c r="B48" s="661"/>
      <c r="C48" s="662"/>
      <c r="D48" s="663"/>
      <c r="E48" s="664"/>
      <c r="F48" s="663"/>
      <c r="G48" s="663"/>
      <c r="H48" s="662"/>
      <c r="I48" s="662"/>
      <c r="J48" s="859"/>
      <c r="K48" s="665"/>
    </row>
    <row r="49" spans="1:11" x14ac:dyDescent="0.2">
      <c r="A49" s="849"/>
      <c r="B49" s="803" t="s">
        <v>709</v>
      </c>
      <c r="C49" s="582" t="s">
        <v>653</v>
      </c>
      <c r="D49" s="603">
        <v>45000</v>
      </c>
      <c r="E49" s="584">
        <v>0.16</v>
      </c>
      <c r="F49" s="603">
        <f>+D49*E49</f>
        <v>7200</v>
      </c>
      <c r="G49" s="586">
        <v>14400</v>
      </c>
      <c r="H49" s="586">
        <f t="shared" ref="H49:H52" si="9">+G49*E49</f>
        <v>2304</v>
      </c>
      <c r="I49" s="851">
        <f t="shared" ref="I49:I52" si="10">F49*0.0765</f>
        <v>550.79999999999995</v>
      </c>
      <c r="J49" s="851"/>
      <c r="K49" s="590"/>
    </row>
    <row r="50" spans="1:11" x14ac:dyDescent="0.2">
      <c r="A50" s="849" t="s">
        <v>346</v>
      </c>
      <c r="B50" s="803"/>
      <c r="C50" s="582"/>
      <c r="D50" s="603"/>
      <c r="E50" s="584">
        <f>'2021 Budget'!$G$5/'2021 Budget'!$G$4</f>
        <v>0.19753086419753085</v>
      </c>
      <c r="F50" s="603">
        <f>+D50*E50</f>
        <v>0</v>
      </c>
      <c r="G50" s="586"/>
      <c r="H50" s="586">
        <f t="shared" si="9"/>
        <v>0</v>
      </c>
      <c r="I50" s="851">
        <f t="shared" si="10"/>
        <v>0</v>
      </c>
      <c r="J50" s="851"/>
      <c r="K50" s="590"/>
    </row>
    <row r="51" spans="1:11" x14ac:dyDescent="0.2">
      <c r="A51" s="849" t="s">
        <v>346</v>
      </c>
      <c r="B51" s="598"/>
      <c r="C51" s="582"/>
      <c r="D51" s="603"/>
      <c r="E51" s="584">
        <f>'2021 Budget'!$G$5/'2021 Budget'!$G$4</f>
        <v>0.19753086419753085</v>
      </c>
      <c r="F51" s="603">
        <f>+D51*E51</f>
        <v>0</v>
      </c>
      <c r="G51" s="586"/>
      <c r="H51" s="586">
        <f t="shared" si="9"/>
        <v>0</v>
      </c>
      <c r="I51" s="851">
        <f t="shared" si="10"/>
        <v>0</v>
      </c>
      <c r="J51" s="851"/>
      <c r="K51" s="590"/>
    </row>
    <row r="52" spans="1:11" x14ac:dyDescent="0.2">
      <c r="A52" s="849" t="s">
        <v>346</v>
      </c>
      <c r="B52" s="591"/>
      <c r="C52" s="592"/>
      <c r="D52" s="603"/>
      <c r="E52" s="584">
        <f>'2021 Budget'!$G$5/'2021 Budget'!$G$4</f>
        <v>0.19753086419753085</v>
      </c>
      <c r="F52" s="603">
        <f>+D52*E52</f>
        <v>0</v>
      </c>
      <c r="G52" s="586"/>
      <c r="H52" s="586">
        <f t="shared" si="9"/>
        <v>0</v>
      </c>
      <c r="I52" s="851">
        <f t="shared" si="10"/>
        <v>0</v>
      </c>
      <c r="J52" s="851"/>
      <c r="K52" s="590"/>
    </row>
    <row r="53" spans="1:11" x14ac:dyDescent="0.2">
      <c r="A53" s="560" t="s">
        <v>344</v>
      </c>
      <c r="B53" s="561"/>
      <c r="C53" s="572"/>
      <c r="D53" s="563"/>
      <c r="E53" s="564"/>
      <c r="F53" s="552">
        <f>SUM(F49:F52)</f>
        <v>7200</v>
      </c>
      <c r="G53" s="552"/>
      <c r="H53" s="552">
        <f t="shared" ref="H53:I53" si="11">SUM(H49:H52)</f>
        <v>2304</v>
      </c>
      <c r="I53" s="552">
        <f t="shared" si="11"/>
        <v>550.79999999999995</v>
      </c>
      <c r="J53" s="856"/>
      <c r="K53" s="575"/>
    </row>
    <row r="54" spans="1:11" ht="13.5" thickBot="1" x14ac:dyDescent="0.25">
      <c r="A54" s="34"/>
      <c r="B54" s="98"/>
      <c r="C54" s="35"/>
      <c r="D54" s="36"/>
      <c r="E54" s="223"/>
      <c r="F54" s="223"/>
      <c r="G54" s="223"/>
      <c r="H54" s="223"/>
      <c r="I54" s="37"/>
      <c r="J54" s="860"/>
      <c r="K54" s="38"/>
    </row>
    <row r="55" spans="1:11" ht="15.75" thickBot="1" x14ac:dyDescent="0.3">
      <c r="A55" s="39"/>
      <c r="B55" s="40"/>
      <c r="C55" s="40"/>
      <c r="D55" s="40"/>
      <c r="E55" s="40"/>
      <c r="F55" s="40"/>
      <c r="G55" s="40"/>
      <c r="H55" s="40"/>
      <c r="I55" s="41"/>
      <c r="J55" s="41"/>
      <c r="K55" s="42"/>
    </row>
    <row r="56" spans="1:11" ht="13.5" thickBot="1" x14ac:dyDescent="0.25">
      <c r="A56" s="605"/>
      <c r="B56" s="605"/>
      <c r="C56" s="605"/>
      <c r="D56" s="605"/>
      <c r="E56" s="605"/>
      <c r="F56" s="605"/>
      <c r="G56" s="605"/>
      <c r="H56" s="605"/>
      <c r="I56" s="605"/>
      <c r="J56" s="605"/>
      <c r="K56" s="605"/>
    </row>
    <row r="57" spans="1:11" ht="13.5" thickBot="1" x14ac:dyDescent="0.25">
      <c r="A57" s="785" t="s">
        <v>138</v>
      </c>
      <c r="B57" s="786"/>
      <c r="C57" s="787"/>
      <c r="D57" s="787"/>
      <c r="E57" s="787"/>
      <c r="F57" s="788">
        <f>F13+F20+F27+F43+F53</f>
        <v>15200</v>
      </c>
      <c r="G57" s="788"/>
      <c r="H57" s="788">
        <f>H13+H20+H27+H43+H53</f>
        <v>4608</v>
      </c>
      <c r="I57" s="788">
        <f>I13+I20+I27+I43+I53</f>
        <v>1162.8</v>
      </c>
      <c r="J57" s="788"/>
      <c r="K57" s="789"/>
    </row>
  </sheetData>
  <sheetProtection insertRows="0" selectLockedCells="1"/>
  <protectedRanges>
    <protectedRange sqref="H13:J15 H20:J20 H27:J27 H22:J22 I21:J21 I28:J28 I12:J12 I26:J26" name="Range1_1_1_1_4_3"/>
    <protectedRange sqref="F12:G15 F20:G20 F26:G27 B43:J43 F22:G22 F21 F28" name="Range1_1_1_1_4_3_1"/>
    <protectedRange sqref="B20:E22 B28:E28 C26:E27 B13:E15 B26:B28 B12:D12" name="Range1_1_1_1_4_3_1_1"/>
  </protectedRanges>
  <pageMargins left="0.37" right="0.39" top="0.73" bottom="1" header="0.32" footer="0.5"/>
  <headerFooter alignWithMargins="0">
    <oddHeader>&amp;C&amp;"Calibri,Bold"&amp;14&amp;F
&amp;A</oddHead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55"/>
  <sheetViews>
    <sheetView topLeftCell="C1" zoomScale="70" zoomScaleNormal="70" zoomScalePageLayoutView="70" workbookViewId="0">
      <selection activeCell="L17" sqref="L17"/>
    </sheetView>
  </sheetViews>
  <sheetFormatPr defaultColWidth="8.85546875" defaultRowHeight="15.75" x14ac:dyDescent="0.25"/>
  <cols>
    <col min="1" max="2" width="14.7109375" style="356" bestFit="1" customWidth="1"/>
    <col min="3" max="3" width="15" style="356" bestFit="1" customWidth="1"/>
    <col min="4" max="4" width="50.7109375" style="363" bestFit="1" customWidth="1"/>
    <col min="5" max="9" width="19.28515625" style="374" hidden="1" customWidth="1"/>
    <col min="10" max="10" width="19.28515625" style="363" bestFit="1" customWidth="1"/>
    <col min="11" max="11" width="21.42578125" style="374" bestFit="1" customWidth="1"/>
    <col min="12" max="12" width="18.85546875" style="473" bestFit="1" customWidth="1"/>
    <col min="13" max="13" width="16.7109375" style="473" bestFit="1" customWidth="1"/>
    <col min="14" max="14" width="11.42578125" style="231" bestFit="1" customWidth="1"/>
    <col min="15" max="15" width="13.85546875" style="474" bestFit="1" customWidth="1"/>
    <col min="16" max="16" width="10" style="475" bestFit="1" customWidth="1"/>
    <col min="17" max="17" width="12.85546875" style="363" bestFit="1" customWidth="1"/>
    <col min="18" max="18" width="51.140625" style="363" bestFit="1" customWidth="1"/>
    <col min="19" max="19" width="13.42578125" style="371" bestFit="1" customWidth="1"/>
    <col min="20" max="20" width="8.42578125" style="413" bestFit="1" customWidth="1"/>
    <col min="21" max="21" width="137.42578125" style="363" bestFit="1" customWidth="1"/>
    <col min="22" max="22" width="22.42578125" style="369" customWidth="1"/>
    <col min="23" max="16384" width="8.85546875" style="363"/>
  </cols>
  <sheetData>
    <row r="1" spans="1:22" s="357" customFormat="1" ht="18" x14ac:dyDescent="0.25">
      <c r="A1" s="356"/>
      <c r="B1" s="356"/>
      <c r="C1" s="356"/>
      <c r="D1" s="357" t="s">
        <v>535</v>
      </c>
      <c r="E1" s="358" t="s">
        <v>495</v>
      </c>
      <c r="F1" s="359" t="s">
        <v>494</v>
      </c>
      <c r="G1" s="359" t="s">
        <v>493</v>
      </c>
      <c r="H1" s="359" t="s">
        <v>492</v>
      </c>
      <c r="I1" s="359" t="s">
        <v>497</v>
      </c>
      <c r="J1" s="359" t="s">
        <v>536</v>
      </c>
      <c r="K1" s="360" t="s">
        <v>537</v>
      </c>
      <c r="L1" s="880" t="s">
        <v>538</v>
      </c>
      <c r="M1" s="881"/>
      <c r="N1" s="882"/>
      <c r="O1" s="883" t="s">
        <v>489</v>
      </c>
      <c r="P1" s="884"/>
      <c r="S1" s="361"/>
      <c r="T1" s="405"/>
      <c r="U1" s="357" t="s">
        <v>539</v>
      </c>
      <c r="V1" s="362"/>
    </row>
    <row r="2" spans="1:22" x14ac:dyDescent="0.25">
      <c r="E2" s="364" t="s">
        <v>487</v>
      </c>
      <c r="F2" s="365" t="s">
        <v>487</v>
      </c>
      <c r="G2" s="365" t="s">
        <v>487</v>
      </c>
      <c r="H2" s="365" t="s">
        <v>487</v>
      </c>
      <c r="I2" s="365" t="s">
        <v>487</v>
      </c>
      <c r="J2" s="406" t="s">
        <v>487</v>
      </c>
      <c r="K2" s="366" t="s">
        <v>487</v>
      </c>
      <c r="L2" s="407" t="s">
        <v>488</v>
      </c>
      <c r="M2" s="408" t="s">
        <v>487</v>
      </c>
      <c r="N2" s="333" t="s">
        <v>486</v>
      </c>
      <c r="O2" s="409" t="s">
        <v>487</v>
      </c>
      <c r="P2" s="410" t="s">
        <v>486</v>
      </c>
      <c r="S2" s="367"/>
      <c r="T2" s="411"/>
      <c r="U2" s="368"/>
    </row>
    <row r="3" spans="1:22" x14ac:dyDescent="0.25">
      <c r="D3" s="370" t="s">
        <v>485</v>
      </c>
      <c r="E3" s="364">
        <v>70</v>
      </c>
      <c r="F3" s="365">
        <v>70</v>
      </c>
      <c r="G3" s="365">
        <v>70</v>
      </c>
      <c r="H3" s="365">
        <v>70</v>
      </c>
      <c r="I3" s="365">
        <v>70</v>
      </c>
      <c r="J3" s="406">
        <v>70</v>
      </c>
      <c r="K3" s="366">
        <v>70</v>
      </c>
      <c r="L3" s="407">
        <v>127</v>
      </c>
      <c r="M3" s="408">
        <v>70</v>
      </c>
      <c r="N3" s="333">
        <f>+M3/L3</f>
        <v>0.55118110236220474</v>
      </c>
      <c r="O3" s="412">
        <f>+M3</f>
        <v>70</v>
      </c>
      <c r="P3" s="410">
        <f>+O3/L3</f>
        <v>0.55118110236220474</v>
      </c>
    </row>
    <row r="4" spans="1:22" x14ac:dyDescent="0.25">
      <c r="D4" s="372" t="s">
        <v>358</v>
      </c>
      <c r="E4" s="252"/>
      <c r="F4" s="251"/>
      <c r="G4" s="251"/>
      <c r="H4" s="251"/>
      <c r="I4" s="251"/>
      <c r="J4" s="414"/>
      <c r="K4" s="279"/>
      <c r="L4" s="415"/>
      <c r="M4" s="416"/>
      <c r="N4" s="245"/>
      <c r="O4" s="417"/>
      <c r="P4" s="418"/>
    </row>
    <row r="5" spans="1:22" x14ac:dyDescent="0.25">
      <c r="C5" s="356">
        <v>3110001.01</v>
      </c>
      <c r="D5" s="363" t="s">
        <v>359</v>
      </c>
      <c r="E5" s="249">
        <v>0</v>
      </c>
      <c r="F5" s="248"/>
      <c r="G5" s="248"/>
      <c r="H5" s="248"/>
      <c r="I5" s="248"/>
      <c r="J5" s="248">
        <v>0</v>
      </c>
      <c r="K5" s="254" t="e">
        <f>SUMIF('[2]2014 Budget'!$A$9:$A$151,C5,'[2]2014 Budget'!$J$9:$J$151)</f>
        <v>#VALUE!</v>
      </c>
      <c r="L5" s="419">
        <v>761899</v>
      </c>
      <c r="M5" s="420">
        <v>0</v>
      </c>
      <c r="N5" s="245">
        <f>+M5/L5</f>
        <v>0</v>
      </c>
      <c r="O5" s="417"/>
      <c r="P5" s="418">
        <f>+O5/L5</f>
        <v>0</v>
      </c>
      <c r="S5" s="373"/>
    </row>
    <row r="6" spans="1:22" x14ac:dyDescent="0.25">
      <c r="C6" s="356">
        <v>3110001</v>
      </c>
      <c r="D6" s="374" t="s">
        <v>360</v>
      </c>
      <c r="E6" s="250">
        <v>240007</v>
      </c>
      <c r="F6" s="248">
        <v>307648</v>
      </c>
      <c r="G6" s="248">
        <v>314927</v>
      </c>
      <c r="H6" s="248">
        <v>321611</v>
      </c>
      <c r="I6" s="248">
        <v>327043.20000000001</v>
      </c>
      <c r="J6" s="248">
        <v>334604</v>
      </c>
      <c r="K6" s="254" t="e">
        <f>SUMIF('[2]2014 Budget'!$A$9:$A$151,C6,'[2]2014 Budget'!$J$9:$J$151)</f>
        <v>#VALUE!</v>
      </c>
      <c r="L6" s="419">
        <v>340890</v>
      </c>
      <c r="M6" s="420">
        <v>340890</v>
      </c>
      <c r="N6" s="303">
        <f>+M6/L6</f>
        <v>1</v>
      </c>
      <c r="O6" s="417"/>
      <c r="P6" s="418">
        <f>+O6/L6</f>
        <v>0</v>
      </c>
      <c r="S6" s="373"/>
    </row>
    <row r="7" spans="1:22" x14ac:dyDescent="0.25">
      <c r="D7" s="374" t="s">
        <v>361</v>
      </c>
      <c r="E7" s="250"/>
      <c r="F7" s="248"/>
      <c r="G7" s="248">
        <v>-2338</v>
      </c>
      <c r="H7" s="248"/>
      <c r="I7" s="248"/>
      <c r="J7" s="248"/>
      <c r="K7" s="254" t="e">
        <f>SUMIF('[2]2014 Budget'!$A$9:$A$151,C7,'[2]2014 Budget'!$J$9:$J$151)</f>
        <v>#VALUE!</v>
      </c>
      <c r="L7" s="419"/>
      <c r="M7" s="420"/>
      <c r="N7" s="245"/>
      <c r="O7" s="417"/>
      <c r="P7" s="418"/>
      <c r="S7" s="373"/>
    </row>
    <row r="8" spans="1:22" x14ac:dyDescent="0.25">
      <c r="C8" s="356">
        <v>4190030.02</v>
      </c>
      <c r="D8" s="374" t="s">
        <v>362</v>
      </c>
      <c r="E8" s="250">
        <v>0</v>
      </c>
      <c r="F8" s="248"/>
      <c r="G8" s="248"/>
      <c r="H8" s="248"/>
      <c r="I8" s="248"/>
      <c r="J8" s="248"/>
      <c r="K8" s="254" t="e">
        <f>SUMIF('[2]2014 Budget'!$A$9:$A$151,C8,'[2]2014 Budget'!$J$9:$J$151)</f>
        <v>#VALUE!</v>
      </c>
      <c r="L8" s="419"/>
      <c r="M8" s="420"/>
      <c r="N8" s="245"/>
      <c r="O8" s="417"/>
      <c r="P8" s="418"/>
      <c r="S8" s="373"/>
    </row>
    <row r="9" spans="1:22" s="372" customFormat="1" x14ac:dyDescent="0.25">
      <c r="A9" s="356"/>
      <c r="B9" s="356"/>
      <c r="C9" s="356"/>
      <c r="D9" s="375" t="s">
        <v>363</v>
      </c>
      <c r="E9" s="329">
        <f t="shared" ref="E9:M9" si="0">SUM(E5:E8)</f>
        <v>240007</v>
      </c>
      <c r="F9" s="323">
        <f t="shared" si="0"/>
        <v>307648</v>
      </c>
      <c r="G9" s="323">
        <f t="shared" si="0"/>
        <v>312589</v>
      </c>
      <c r="H9" s="323">
        <f t="shared" si="0"/>
        <v>321611</v>
      </c>
      <c r="I9" s="323">
        <f t="shared" si="0"/>
        <v>327043.20000000001</v>
      </c>
      <c r="J9" s="323">
        <f>SUM(J5:J8)</f>
        <v>334604</v>
      </c>
      <c r="K9" s="322" t="e">
        <f t="shared" si="0"/>
        <v>#VALUE!</v>
      </c>
      <c r="L9" s="421">
        <f t="shared" si="0"/>
        <v>1102789</v>
      </c>
      <c r="M9" s="421">
        <f t="shared" si="0"/>
        <v>340890</v>
      </c>
      <c r="N9" s="422">
        <f>+M9/L9</f>
        <v>0.3091162497993723</v>
      </c>
      <c r="O9" s="423">
        <f>SUM(O5:O8)</f>
        <v>0</v>
      </c>
      <c r="P9" s="424">
        <f>+O9/L9</f>
        <v>0</v>
      </c>
      <c r="S9" s="373"/>
      <c r="T9" s="413"/>
      <c r="U9" s="363"/>
      <c r="V9" s="376"/>
    </row>
    <row r="10" spans="1:22" x14ac:dyDescent="0.25">
      <c r="D10" s="377"/>
      <c r="E10" s="250"/>
      <c r="F10" s="248"/>
      <c r="G10" s="248"/>
      <c r="H10" s="248"/>
      <c r="I10" s="248"/>
      <c r="J10" s="248"/>
      <c r="K10" s="254"/>
      <c r="L10" s="419"/>
      <c r="M10" s="420"/>
      <c r="N10" s="245"/>
      <c r="O10" s="417"/>
      <c r="P10" s="418"/>
      <c r="S10" s="373"/>
    </row>
    <row r="11" spans="1:22" x14ac:dyDescent="0.25">
      <c r="D11" s="378" t="s">
        <v>364</v>
      </c>
      <c r="E11" s="250"/>
      <c r="F11" s="248"/>
      <c r="G11" s="248"/>
      <c r="H11" s="248"/>
      <c r="I11" s="248"/>
      <c r="J11" s="248"/>
      <c r="K11" s="254"/>
      <c r="L11" s="419"/>
      <c r="M11" s="420"/>
      <c r="N11" s="245"/>
      <c r="O11" s="417"/>
      <c r="P11" s="418"/>
      <c r="S11" s="373"/>
    </row>
    <row r="12" spans="1:22" x14ac:dyDescent="0.25">
      <c r="C12" s="356">
        <v>3690001.02</v>
      </c>
      <c r="D12" s="374" t="s">
        <v>365</v>
      </c>
      <c r="E12" s="250"/>
      <c r="F12" s="248"/>
      <c r="G12" s="248">
        <v>0</v>
      </c>
      <c r="H12" s="248">
        <v>0</v>
      </c>
      <c r="I12" s="248"/>
      <c r="J12" s="248"/>
      <c r="K12" s="254" t="e">
        <f>SUMIF('[2]2014 Budget'!$A$9:$A$151,C12,'[2]2014 Budget'!$J$9:$J$151)</f>
        <v>#VALUE!</v>
      </c>
      <c r="L12" s="419"/>
      <c r="M12" s="420"/>
      <c r="N12" s="245"/>
      <c r="O12" s="417"/>
      <c r="P12" s="418"/>
      <c r="S12" s="373"/>
    </row>
    <row r="13" spans="1:22" x14ac:dyDescent="0.25">
      <c r="D13" s="374" t="s">
        <v>366</v>
      </c>
      <c r="E13" s="250"/>
      <c r="F13" s="248"/>
      <c r="G13" s="248">
        <v>0</v>
      </c>
      <c r="H13" s="248">
        <v>0</v>
      </c>
      <c r="I13" s="248"/>
      <c r="J13" s="248"/>
      <c r="K13" s="254" t="e">
        <f>SUMIF('[2]2014 Budget'!$A$9:$A$151,C13,'[2]2014 Budget'!$J$9:$J$151)</f>
        <v>#VALUE!</v>
      </c>
      <c r="L13" s="419"/>
      <c r="M13" s="420"/>
      <c r="N13" s="245"/>
      <c r="O13" s="417"/>
      <c r="P13" s="418"/>
      <c r="S13" s="373"/>
    </row>
    <row r="14" spans="1:22" x14ac:dyDescent="0.25">
      <c r="D14" s="374" t="s">
        <v>367</v>
      </c>
      <c r="E14" s="250"/>
      <c r="F14" s="248"/>
      <c r="G14" s="248">
        <v>0</v>
      </c>
      <c r="H14" s="248">
        <v>0</v>
      </c>
      <c r="I14" s="248"/>
      <c r="J14" s="248"/>
      <c r="K14" s="254" t="e">
        <f>SUMIF('[2]2014 Budget'!$A$9:$A$151,C14,'[2]2014 Budget'!$J$9:$J$151)</f>
        <v>#VALUE!</v>
      </c>
      <c r="L14" s="419"/>
      <c r="M14" s="420"/>
      <c r="N14" s="303"/>
      <c r="O14" s="417"/>
      <c r="P14" s="418"/>
      <c r="S14" s="373"/>
    </row>
    <row r="15" spans="1:22" x14ac:dyDescent="0.25">
      <c r="A15" s="356">
        <v>3690001.06</v>
      </c>
      <c r="B15" s="356">
        <v>3690001.05</v>
      </c>
      <c r="C15" s="356">
        <v>3690001.04</v>
      </c>
      <c r="D15" s="374" t="s">
        <v>368</v>
      </c>
      <c r="E15" s="250"/>
      <c r="F15" s="248"/>
      <c r="G15" s="248">
        <v>0</v>
      </c>
      <c r="H15" s="248">
        <v>1478</v>
      </c>
      <c r="I15" s="248"/>
      <c r="J15" s="248"/>
      <c r="K15" s="254" t="e">
        <f>SUMIF('[2]2014 Budget'!$A$9:$A$151,C15,'[2]2014 Budget'!$J$9:$J$151)</f>
        <v>#VALUE!</v>
      </c>
      <c r="L15" s="419"/>
      <c r="M15" s="420"/>
      <c r="N15" s="303"/>
      <c r="O15" s="417"/>
      <c r="P15" s="418"/>
      <c r="S15" s="373"/>
    </row>
    <row r="16" spans="1:22" x14ac:dyDescent="0.25">
      <c r="C16" s="356">
        <v>3690001.01</v>
      </c>
      <c r="D16" s="379" t="s">
        <v>369</v>
      </c>
      <c r="E16" s="250"/>
      <c r="F16" s="248"/>
      <c r="G16" s="248">
        <v>0</v>
      </c>
      <c r="H16" s="248">
        <v>0</v>
      </c>
      <c r="I16" s="248"/>
      <c r="J16" s="248"/>
      <c r="K16" s="254" t="e">
        <f>SUMIF('[2]2014 Budget'!$A$9:$A$151,C16,'[2]2014 Budget'!$J$9:$J$151)</f>
        <v>#VALUE!</v>
      </c>
      <c r="L16" s="419"/>
      <c r="M16" s="420"/>
      <c r="N16" s="303"/>
      <c r="O16" s="417"/>
      <c r="P16" s="418"/>
      <c r="S16" s="373"/>
    </row>
    <row r="17" spans="1:22" x14ac:dyDescent="0.25">
      <c r="D17" s="379" t="s">
        <v>370</v>
      </c>
      <c r="E17" s="250"/>
      <c r="F17" s="248"/>
      <c r="G17" s="248">
        <v>0</v>
      </c>
      <c r="H17" s="248">
        <v>0</v>
      </c>
      <c r="I17" s="248"/>
      <c r="J17" s="248"/>
      <c r="K17" s="254" t="e">
        <f>SUMIF('[2]2014 Budget'!$A$9:$A$151,C17,'[2]2014 Budget'!$J$9:$J$151)</f>
        <v>#VALUE!</v>
      </c>
      <c r="L17" s="419"/>
      <c r="M17" s="420"/>
      <c r="N17" s="303"/>
      <c r="O17" s="417"/>
      <c r="P17" s="418"/>
      <c r="S17" s="373"/>
    </row>
    <row r="18" spans="1:22" x14ac:dyDescent="0.25">
      <c r="D18" s="379" t="s">
        <v>371</v>
      </c>
      <c r="E18" s="250"/>
      <c r="F18" s="248"/>
      <c r="G18" s="248">
        <v>0</v>
      </c>
      <c r="H18" s="248">
        <v>0</v>
      </c>
      <c r="I18" s="248"/>
      <c r="J18" s="248"/>
      <c r="K18" s="254" t="e">
        <f>SUMIF('[2]2014 Budget'!$A$9:$A$151,C18,'[2]2014 Budget'!$J$9:$J$151)</f>
        <v>#VALUE!</v>
      </c>
      <c r="L18" s="419"/>
      <c r="M18" s="420"/>
      <c r="N18" s="303"/>
      <c r="O18" s="417"/>
      <c r="P18" s="418"/>
      <c r="S18" s="373"/>
    </row>
    <row r="19" spans="1:22" x14ac:dyDescent="0.25">
      <c r="D19" s="374" t="s">
        <v>372</v>
      </c>
      <c r="E19" s="250"/>
      <c r="F19" s="248"/>
      <c r="G19" s="248">
        <v>0</v>
      </c>
      <c r="H19" s="248">
        <v>0</v>
      </c>
      <c r="I19" s="248"/>
      <c r="J19" s="248"/>
      <c r="K19" s="254" t="e">
        <f>SUMIF('[2]2014 Budget'!$A$9:$A$151,C19,'[2]2014 Budget'!$J$9:$J$151)</f>
        <v>#VALUE!</v>
      </c>
      <c r="L19" s="419"/>
      <c r="M19" s="420"/>
      <c r="N19" s="303"/>
      <c r="O19" s="417"/>
      <c r="P19" s="418"/>
      <c r="S19" s="373"/>
    </row>
    <row r="20" spans="1:22" x14ac:dyDescent="0.25">
      <c r="C20" s="356">
        <v>3690001.08</v>
      </c>
      <c r="D20" s="374" t="s">
        <v>115</v>
      </c>
      <c r="E20" s="250">
        <v>938</v>
      </c>
      <c r="F20" s="248"/>
      <c r="G20" s="248">
        <v>1878</v>
      </c>
      <c r="H20" s="248">
        <v>0</v>
      </c>
      <c r="I20" s="248">
        <v>2231</v>
      </c>
      <c r="J20" s="248">
        <v>560</v>
      </c>
      <c r="K20" s="254" t="e">
        <f>SUMIF('[2]2014 Budget'!$A$9:$A$151,C20,'[2]2014 Budget'!$J$9:$J$151)</f>
        <v>#VALUE!</v>
      </c>
      <c r="L20" s="419">
        <v>15132</v>
      </c>
      <c r="M20" s="420">
        <v>4757</v>
      </c>
      <c r="N20" s="303">
        <f>+M20/L20</f>
        <v>0.31436690457309013</v>
      </c>
      <c r="O20" s="417"/>
      <c r="P20" s="418">
        <f>+O20/L20</f>
        <v>0</v>
      </c>
      <c r="S20" s="373"/>
    </row>
    <row r="21" spans="1:22" s="372" customFormat="1" x14ac:dyDescent="0.25">
      <c r="A21" s="356"/>
      <c r="B21" s="356"/>
      <c r="E21" s="249"/>
      <c r="F21" s="248"/>
      <c r="G21" s="248"/>
      <c r="H21" s="248"/>
      <c r="I21" s="248"/>
      <c r="J21" s="425"/>
      <c r="K21" s="254" t="e">
        <f>SUMIF('[2]2014 Budget'!$A$9:$A$151,C21,'[2]2014 Budget'!$J$9:$J$151)</f>
        <v>#VALUE!</v>
      </c>
      <c r="L21" s="426"/>
      <c r="M21" s="426"/>
      <c r="N21" s="303"/>
      <c r="O21" s="427"/>
      <c r="P21" s="418"/>
      <c r="S21" s="373"/>
      <c r="T21" s="413"/>
      <c r="U21" s="363"/>
      <c r="V21" s="376"/>
    </row>
    <row r="22" spans="1:22" s="378" customFormat="1" x14ac:dyDescent="0.25">
      <c r="A22" s="356"/>
      <c r="B22" s="356"/>
      <c r="C22" s="356"/>
      <c r="D22" s="380" t="s">
        <v>373</v>
      </c>
      <c r="E22" s="324">
        <f t="shared" ref="E22:M22" si="1">SUM(E12:E21)</f>
        <v>938</v>
      </c>
      <c r="F22" s="323">
        <f t="shared" si="1"/>
        <v>0</v>
      </c>
      <c r="G22" s="323">
        <f t="shared" si="1"/>
        <v>1878</v>
      </c>
      <c r="H22" s="323">
        <f t="shared" si="1"/>
        <v>1478</v>
      </c>
      <c r="I22" s="323">
        <f>SUM(I12:I21)</f>
        <v>2231</v>
      </c>
      <c r="J22" s="323">
        <f>SUM(J12:J21)</f>
        <v>560</v>
      </c>
      <c r="K22" s="322" t="e">
        <f t="shared" si="1"/>
        <v>#VALUE!</v>
      </c>
      <c r="L22" s="421">
        <f t="shared" si="1"/>
        <v>15132</v>
      </c>
      <c r="M22" s="421">
        <f t="shared" si="1"/>
        <v>4757</v>
      </c>
      <c r="N22" s="422">
        <f>+M22/L22</f>
        <v>0.31436690457309013</v>
      </c>
      <c r="O22" s="423">
        <f>SUM(O12:O21)</f>
        <v>0</v>
      </c>
      <c r="P22" s="424">
        <f>+O22/L22</f>
        <v>0</v>
      </c>
      <c r="S22" s="373"/>
      <c r="T22" s="413"/>
      <c r="U22" s="363"/>
      <c r="V22" s="381"/>
    </row>
    <row r="23" spans="1:22" ht="16.5" thickBot="1" x14ac:dyDescent="0.3">
      <c r="D23" s="382" t="s">
        <v>177</v>
      </c>
      <c r="E23" s="300">
        <f t="shared" ref="E23:M23" si="2">+E9+E22</f>
        <v>240945</v>
      </c>
      <c r="F23" s="299">
        <f t="shared" si="2"/>
        <v>307648</v>
      </c>
      <c r="G23" s="299">
        <f t="shared" si="2"/>
        <v>314467</v>
      </c>
      <c r="H23" s="299">
        <f t="shared" si="2"/>
        <v>323089</v>
      </c>
      <c r="I23" s="299">
        <f>+I9+I22</f>
        <v>329274.2</v>
      </c>
      <c r="J23" s="261">
        <f>+J9+J22</f>
        <v>335164</v>
      </c>
      <c r="K23" s="298" t="e">
        <f t="shared" si="2"/>
        <v>#VALUE!</v>
      </c>
      <c r="L23" s="428">
        <f t="shared" si="2"/>
        <v>1117921</v>
      </c>
      <c r="M23" s="428">
        <f t="shared" si="2"/>
        <v>345647</v>
      </c>
      <c r="N23" s="429">
        <f>+M23/L23</f>
        <v>0.30918732182327729</v>
      </c>
      <c r="O23" s="430">
        <f>+O9+O22</f>
        <v>0</v>
      </c>
      <c r="P23" s="431">
        <f>+O23/L23</f>
        <v>0</v>
      </c>
      <c r="S23" s="373"/>
    </row>
    <row r="24" spans="1:22" ht="16.5" thickTop="1" x14ac:dyDescent="0.25">
      <c r="E24" s="249"/>
      <c r="F24" s="248"/>
      <c r="G24" s="248"/>
      <c r="H24" s="248"/>
      <c r="I24" s="248"/>
      <c r="J24" s="248"/>
      <c r="K24" s="254"/>
      <c r="L24" s="419"/>
      <c r="M24" s="420"/>
      <c r="N24" s="303"/>
      <c r="O24" s="417"/>
      <c r="P24" s="418"/>
      <c r="S24" s="373"/>
    </row>
    <row r="25" spans="1:22" x14ac:dyDescent="0.25">
      <c r="D25" s="372" t="s">
        <v>0</v>
      </c>
      <c r="E25" s="252"/>
      <c r="F25" s="251"/>
      <c r="G25" s="251"/>
      <c r="H25" s="251"/>
      <c r="I25" s="251"/>
      <c r="J25" s="248"/>
      <c r="K25" s="279"/>
      <c r="L25" s="419"/>
      <c r="M25" s="420"/>
      <c r="N25" s="303"/>
      <c r="O25" s="417"/>
      <c r="P25" s="418"/>
      <c r="S25" s="373"/>
    </row>
    <row r="26" spans="1:22" x14ac:dyDescent="0.25">
      <c r="C26" s="356">
        <v>4110001.01</v>
      </c>
      <c r="D26" s="363" t="s">
        <v>374</v>
      </c>
      <c r="E26" s="249">
        <v>58173</v>
      </c>
      <c r="F26" s="248">
        <f>40880+30307</f>
        <v>71187</v>
      </c>
      <c r="G26" s="248">
        <v>46164</v>
      </c>
      <c r="H26" s="248">
        <v>57240</v>
      </c>
      <c r="I26" s="248">
        <v>44930</v>
      </c>
      <c r="J26" s="248">
        <v>48823</v>
      </c>
      <c r="K26" s="254" t="e">
        <f>SUMIF('[2]2014 Budget'!$A$9:$A$151,C26,'[2]2014 Budget'!$J$9:$J$151)</f>
        <v>#VALUE!</v>
      </c>
      <c r="L26" s="419">
        <v>76695</v>
      </c>
      <c r="M26" s="420">
        <v>42273</v>
      </c>
      <c r="N26" s="303">
        <f t="shared" ref="N26:N55" si="3">+M26/L26</f>
        <v>0.55118325836104054</v>
      </c>
      <c r="O26" s="432"/>
      <c r="P26" s="418">
        <f t="shared" ref="P26:P55" si="4">+O26/L26</f>
        <v>0</v>
      </c>
      <c r="Q26" s="383">
        <f>M26-O26</f>
        <v>42273</v>
      </c>
      <c r="S26" s="384" t="e">
        <f>M26-K26</f>
        <v>#VALUE!</v>
      </c>
      <c r="T26" s="433" t="e">
        <f>IF(OR(S26=0,K26=0),"",S26/K26)</f>
        <v>#VALUE!</v>
      </c>
    </row>
    <row r="27" spans="1:22" x14ac:dyDescent="0.25">
      <c r="D27" s="374" t="s">
        <v>375</v>
      </c>
      <c r="E27" s="250"/>
      <c r="F27" s="248">
        <v>683</v>
      </c>
      <c r="G27" s="248">
        <v>516</v>
      </c>
      <c r="H27" s="248">
        <v>516</v>
      </c>
      <c r="I27" s="248">
        <v>246</v>
      </c>
      <c r="J27" s="248">
        <v>175</v>
      </c>
      <c r="K27" s="304" t="e">
        <f>SUMIF('[2]2014 Budget'!$A$9:$A$151,C27,'[2]2014 Budget'!$J$9:$J$151)</f>
        <v>#VALUE!</v>
      </c>
      <c r="L27" s="434">
        <v>326</v>
      </c>
      <c r="M27" s="435">
        <v>180</v>
      </c>
      <c r="N27" s="303">
        <f t="shared" si="3"/>
        <v>0.55214723926380371</v>
      </c>
      <c r="O27" s="432"/>
      <c r="P27" s="418">
        <f t="shared" si="4"/>
        <v>0</v>
      </c>
      <c r="Q27" s="383">
        <f t="shared" ref="Q27:Q96" si="5">M27-O27</f>
        <v>180</v>
      </c>
      <c r="S27" s="384"/>
      <c r="T27" s="433"/>
    </row>
    <row r="28" spans="1:22" x14ac:dyDescent="0.25">
      <c r="C28" s="356">
        <v>4170001</v>
      </c>
      <c r="D28" s="374" t="s">
        <v>376</v>
      </c>
      <c r="E28" s="250">
        <v>6173</v>
      </c>
      <c r="F28" s="248">
        <v>4299</v>
      </c>
      <c r="G28" s="248">
        <v>6201</v>
      </c>
      <c r="H28" s="248">
        <v>6890</v>
      </c>
      <c r="I28" s="248">
        <v>6366</v>
      </c>
      <c r="J28" s="248">
        <v>7579</v>
      </c>
      <c r="K28" s="254" t="e">
        <f>SUMIF('[2]2014 Budget'!$A$9:$A$151,C28,'[2]2014 Budget'!$J$9:$J$151)</f>
        <v>#VALUE!</v>
      </c>
      <c r="L28" s="419">
        <v>12250</v>
      </c>
      <c r="M28" s="420">
        <v>6752</v>
      </c>
      <c r="N28" s="303">
        <f t="shared" si="3"/>
        <v>0.55118367346938779</v>
      </c>
      <c r="O28" s="432"/>
      <c r="P28" s="418">
        <f t="shared" si="4"/>
        <v>0</v>
      </c>
      <c r="Q28" s="383">
        <f t="shared" si="5"/>
        <v>6752</v>
      </c>
      <c r="S28" s="384" t="e">
        <f t="shared" ref="S28:S55" si="6">M28-K28</f>
        <v>#VALUE!</v>
      </c>
      <c r="T28" s="433" t="e">
        <f t="shared" ref="T28:T55" si="7">IF(OR(S28=0,K28=0),"",S28/K28)</f>
        <v>#VALUE!</v>
      </c>
    </row>
    <row r="29" spans="1:22" x14ac:dyDescent="0.25">
      <c r="C29" s="356">
        <v>4570001</v>
      </c>
      <c r="D29" s="374" t="s">
        <v>377</v>
      </c>
      <c r="E29" s="250"/>
      <c r="F29" s="248">
        <v>0</v>
      </c>
      <c r="G29" s="248">
        <v>0</v>
      </c>
      <c r="H29" s="248">
        <v>0</v>
      </c>
      <c r="I29" s="248"/>
      <c r="J29" s="248">
        <v>0</v>
      </c>
      <c r="K29" s="254" t="e">
        <f>SUMIF('[2]2014 Budget'!$A$9:$A$151,C29,'[2]2014 Budget'!$J$9:$J$151)</f>
        <v>#VALUE!</v>
      </c>
      <c r="L29" s="419">
        <v>23265</v>
      </c>
      <c r="M29" s="420">
        <v>0</v>
      </c>
      <c r="N29" s="303">
        <f t="shared" si="3"/>
        <v>0</v>
      </c>
      <c r="O29" s="432"/>
      <c r="P29" s="418">
        <f t="shared" si="4"/>
        <v>0</v>
      </c>
      <c r="Q29" s="383">
        <f t="shared" si="5"/>
        <v>0</v>
      </c>
      <c r="S29" s="384" t="e">
        <f t="shared" si="6"/>
        <v>#VALUE!</v>
      </c>
      <c r="T29" s="433" t="e">
        <f t="shared" si="7"/>
        <v>#VALUE!</v>
      </c>
    </row>
    <row r="30" spans="1:22" x14ac:dyDescent="0.25">
      <c r="C30" s="356">
        <v>4190049.01</v>
      </c>
      <c r="D30" s="374" t="s">
        <v>378</v>
      </c>
      <c r="E30" s="250">
        <v>454</v>
      </c>
      <c r="F30" s="248">
        <f>500+530</f>
        <v>1030</v>
      </c>
      <c r="G30" s="248">
        <v>533</v>
      </c>
      <c r="H30" s="248">
        <v>669</v>
      </c>
      <c r="I30" s="248">
        <v>748</v>
      </c>
      <c r="J30" s="248">
        <v>940</v>
      </c>
      <c r="K30" s="254" t="e">
        <f>SUMIF('[2]2014 Budget'!$A$9:$A$151,C30,'[2]2014 Budget'!$J$9:$J$151)</f>
        <v>#VALUE!</v>
      </c>
      <c r="L30" s="419">
        <v>1989</v>
      </c>
      <c r="M30" s="420">
        <v>1096</v>
      </c>
      <c r="N30" s="303">
        <f t="shared" si="3"/>
        <v>0.55103066867772754</v>
      </c>
      <c r="O30" s="432"/>
      <c r="P30" s="418">
        <f t="shared" si="4"/>
        <v>0</v>
      </c>
      <c r="Q30" s="383">
        <f t="shared" si="5"/>
        <v>1096</v>
      </c>
      <c r="S30" s="384" t="e">
        <f t="shared" si="6"/>
        <v>#VALUE!</v>
      </c>
      <c r="T30" s="433" t="e">
        <f t="shared" si="7"/>
        <v>#VALUE!</v>
      </c>
    </row>
    <row r="31" spans="1:22" x14ac:dyDescent="0.25">
      <c r="C31" s="356">
        <v>4193001</v>
      </c>
      <c r="D31" s="374" t="s">
        <v>379</v>
      </c>
      <c r="E31" s="250">
        <v>2228</v>
      </c>
      <c r="F31" s="248">
        <v>2638</v>
      </c>
      <c r="G31" s="248">
        <v>1997</v>
      </c>
      <c r="H31" s="248">
        <v>4355.5824000000002</v>
      </c>
      <c r="I31" s="248">
        <v>1981</v>
      </c>
      <c r="J31" s="248">
        <v>4458</v>
      </c>
      <c r="K31" s="304" t="e">
        <f>SUMIF('[2]2014 Budget'!$A$9:$A$151,C31,'[2]2014 Budget'!$J$9:$J$151)</f>
        <v>#VALUE!</v>
      </c>
      <c r="L31" s="434">
        <v>4919</v>
      </c>
      <c r="M31" s="435">
        <v>2711</v>
      </c>
      <c r="N31" s="303">
        <f t="shared" si="3"/>
        <v>0.55112827810530596</v>
      </c>
      <c r="O31" s="432"/>
      <c r="P31" s="418">
        <f t="shared" si="4"/>
        <v>0</v>
      </c>
      <c r="Q31" s="383">
        <f t="shared" si="5"/>
        <v>2711</v>
      </c>
      <c r="S31" s="384" t="e">
        <f t="shared" si="6"/>
        <v>#VALUE!</v>
      </c>
      <c r="T31" s="433" t="e">
        <f t="shared" si="7"/>
        <v>#VALUE!</v>
      </c>
    </row>
    <row r="32" spans="1:22" x14ac:dyDescent="0.25">
      <c r="D32" s="374" t="s">
        <v>483</v>
      </c>
      <c r="E32" s="250"/>
      <c r="F32" s="248"/>
      <c r="G32" s="248"/>
      <c r="H32" s="248"/>
      <c r="I32" s="248">
        <v>331</v>
      </c>
      <c r="J32" s="248"/>
      <c r="K32" s="254" t="e">
        <f>SUMIF('[2]2014 Budget'!$A$9:$A$151,C32,'[2]2014 Budget'!$J$9:$J$151)</f>
        <v>#VALUE!</v>
      </c>
      <c r="L32" s="419">
        <v>0</v>
      </c>
      <c r="M32" s="420">
        <v>0</v>
      </c>
      <c r="N32" s="303"/>
      <c r="O32" s="432"/>
      <c r="P32" s="418"/>
      <c r="Q32" s="383">
        <f t="shared" si="5"/>
        <v>0</v>
      </c>
      <c r="S32" s="384" t="e">
        <f t="shared" si="6"/>
        <v>#VALUE!</v>
      </c>
      <c r="T32" s="433" t="e">
        <f t="shared" si="7"/>
        <v>#VALUE!</v>
      </c>
    </row>
    <row r="33" spans="2:20" x14ac:dyDescent="0.25">
      <c r="D33" s="374" t="s">
        <v>482</v>
      </c>
      <c r="E33" s="250"/>
      <c r="F33" s="248"/>
      <c r="G33" s="248"/>
      <c r="H33" s="248"/>
      <c r="I33" s="248">
        <v>0</v>
      </c>
      <c r="J33" s="248">
        <v>2988</v>
      </c>
      <c r="K33" s="304" t="e">
        <f>SUMIF('[2]2014 Budget'!$A$9:$A$151,C33,'[2]2014 Budget'!$J$9:$J$151)</f>
        <v>#VALUE!</v>
      </c>
      <c r="L33" s="434">
        <v>6117</v>
      </c>
      <c r="M33" s="435">
        <v>3372</v>
      </c>
      <c r="N33" s="303">
        <f t="shared" si="3"/>
        <v>0.55125061304561063</v>
      </c>
      <c r="O33" s="432"/>
      <c r="P33" s="418">
        <f t="shared" si="4"/>
        <v>0</v>
      </c>
      <c r="Q33" s="383">
        <f t="shared" si="5"/>
        <v>3372</v>
      </c>
      <c r="S33" s="384" t="e">
        <f t="shared" si="6"/>
        <v>#VALUE!</v>
      </c>
      <c r="T33" s="433" t="e">
        <f t="shared" si="7"/>
        <v>#VALUE!</v>
      </c>
    </row>
    <row r="34" spans="2:20" x14ac:dyDescent="0.25">
      <c r="C34" s="356">
        <v>4190049.04</v>
      </c>
      <c r="D34" s="374" t="s">
        <v>380</v>
      </c>
      <c r="E34" s="250">
        <v>0</v>
      </c>
      <c r="F34" s="248">
        <v>1635</v>
      </c>
      <c r="G34" s="248">
        <v>1442</v>
      </c>
      <c r="H34" s="248">
        <v>831</v>
      </c>
      <c r="I34" s="248">
        <v>1637</v>
      </c>
      <c r="J34" s="248">
        <v>1280</v>
      </c>
      <c r="K34" s="254" t="e">
        <f>SUMIF('[2]2014 Budget'!$A$9:$A$151,C34,'[2]2014 Budget'!$J$9:$J$151)</f>
        <v>#VALUE!</v>
      </c>
      <c r="L34" s="419">
        <v>2528</v>
      </c>
      <c r="M34" s="420">
        <v>1393</v>
      </c>
      <c r="N34" s="303">
        <f t="shared" si="3"/>
        <v>0.55102848101265822</v>
      </c>
      <c r="O34" s="432"/>
      <c r="P34" s="418">
        <f t="shared" si="4"/>
        <v>0</v>
      </c>
      <c r="Q34" s="383">
        <f t="shared" si="5"/>
        <v>1393</v>
      </c>
      <c r="S34" s="384" t="e">
        <f t="shared" si="6"/>
        <v>#VALUE!</v>
      </c>
      <c r="T34" s="433" t="e">
        <f t="shared" si="7"/>
        <v>#VALUE!</v>
      </c>
    </row>
    <row r="35" spans="2:20" x14ac:dyDescent="0.25">
      <c r="C35" s="356">
        <v>4130004.02</v>
      </c>
      <c r="D35" s="374" t="s">
        <v>381</v>
      </c>
      <c r="E35" s="250">
        <v>553</v>
      </c>
      <c r="F35" s="248">
        <v>1204</v>
      </c>
      <c r="G35" s="248">
        <v>21500</v>
      </c>
      <c r="H35" s="248">
        <v>15677</v>
      </c>
      <c r="I35" s="248">
        <v>9578</v>
      </c>
      <c r="J35" s="248">
        <v>6549</v>
      </c>
      <c r="K35" s="254" t="e">
        <f>SUMIF('[2]2014 Budget'!$A$9:$A$151,C35,'[2]2014 Budget'!$J$9:$J$151)</f>
        <v>#VALUE!</v>
      </c>
      <c r="L35" s="419">
        <v>6297</v>
      </c>
      <c r="M35" s="420">
        <v>1712</v>
      </c>
      <c r="N35" s="303">
        <f t="shared" si="3"/>
        <v>0.27187549626806418</v>
      </c>
      <c r="O35" s="432"/>
      <c r="P35" s="418">
        <f t="shared" si="4"/>
        <v>0</v>
      </c>
      <c r="Q35" s="383">
        <f t="shared" si="5"/>
        <v>1712</v>
      </c>
      <c r="R35" s="363" t="s">
        <v>480</v>
      </c>
      <c r="S35" s="384" t="e">
        <f t="shared" si="6"/>
        <v>#VALUE!</v>
      </c>
      <c r="T35" s="433" t="e">
        <f t="shared" si="7"/>
        <v>#VALUE!</v>
      </c>
    </row>
    <row r="36" spans="2:20" x14ac:dyDescent="0.25">
      <c r="D36" s="374" t="s">
        <v>382</v>
      </c>
      <c r="E36" s="250"/>
      <c r="F36" s="248">
        <v>220</v>
      </c>
      <c r="G36" s="248">
        <v>3750</v>
      </c>
      <c r="H36" s="248">
        <v>0</v>
      </c>
      <c r="I36" s="248">
        <v>0</v>
      </c>
      <c r="J36" s="248"/>
      <c r="K36" s="254" t="e">
        <f>SUMIF('[2]2014 Budget'!$A$9:$A$151,C36,'[2]2014 Budget'!$J$9:$J$151)</f>
        <v>#VALUE!</v>
      </c>
      <c r="L36" s="419"/>
      <c r="M36" s="420"/>
      <c r="N36" s="303"/>
      <c r="O36" s="432"/>
      <c r="P36" s="418"/>
      <c r="Q36" s="383">
        <f t="shared" si="5"/>
        <v>0</v>
      </c>
      <c r="S36" s="384" t="e">
        <f t="shared" si="6"/>
        <v>#VALUE!</v>
      </c>
      <c r="T36" s="433" t="e">
        <f t="shared" si="7"/>
        <v>#VALUE!</v>
      </c>
    </row>
    <row r="37" spans="2:20" x14ac:dyDescent="0.25">
      <c r="C37" s="356">
        <v>4130004.01</v>
      </c>
      <c r="D37" s="374" t="s">
        <v>383</v>
      </c>
      <c r="E37" s="250">
        <v>0</v>
      </c>
      <c r="F37" s="248">
        <v>0</v>
      </c>
      <c r="G37" s="248"/>
      <c r="H37" s="248">
        <v>0</v>
      </c>
      <c r="I37" s="248">
        <v>0</v>
      </c>
      <c r="J37" s="248"/>
      <c r="K37" s="254" t="e">
        <f>SUMIF('[2]2014 Budget'!$A$9:$A$151,C37,'[2]2014 Budget'!$J$9:$J$151)</f>
        <v>#VALUE!</v>
      </c>
      <c r="L37" s="419"/>
      <c r="M37" s="420"/>
      <c r="N37" s="303"/>
      <c r="O37" s="432"/>
      <c r="P37" s="418"/>
      <c r="Q37" s="383">
        <f t="shared" si="5"/>
        <v>0</v>
      </c>
      <c r="S37" s="384" t="e">
        <f t="shared" si="6"/>
        <v>#VALUE!</v>
      </c>
      <c r="T37" s="433" t="e">
        <f t="shared" si="7"/>
        <v>#VALUE!</v>
      </c>
    </row>
    <row r="38" spans="2:20" x14ac:dyDescent="0.25">
      <c r="D38" s="374" t="s">
        <v>498</v>
      </c>
      <c r="E38" s="250"/>
      <c r="F38" s="248"/>
      <c r="G38" s="248"/>
      <c r="H38" s="248"/>
      <c r="I38" s="248"/>
      <c r="J38" s="248">
        <v>83</v>
      </c>
      <c r="K38" s="254" t="e">
        <f>SUMIF('[2]2014 Budget'!$A$9:$A$151,C38,'[2]2014 Budget'!$J$9:$J$151)</f>
        <v>#VALUE!</v>
      </c>
      <c r="L38" s="419">
        <v>59</v>
      </c>
      <c r="M38" s="420">
        <v>0</v>
      </c>
      <c r="N38" s="303">
        <f t="shared" si="3"/>
        <v>0</v>
      </c>
      <c r="O38" s="432"/>
      <c r="P38" s="418">
        <f t="shared" si="4"/>
        <v>0</v>
      </c>
      <c r="Q38" s="383">
        <f t="shared" si="5"/>
        <v>0</v>
      </c>
      <c r="S38" s="384"/>
      <c r="T38" s="433"/>
    </row>
    <row r="39" spans="2:20" x14ac:dyDescent="0.25">
      <c r="B39" s="356">
        <v>3690001.07</v>
      </c>
      <c r="C39" s="356">
        <v>4195001</v>
      </c>
      <c r="D39" s="374" t="s">
        <v>384</v>
      </c>
      <c r="E39" s="250">
        <v>30905</v>
      </c>
      <c r="F39" s="248">
        <v>37801</v>
      </c>
      <c r="G39" s="248">
        <v>37800</v>
      </c>
      <c r="H39" s="248">
        <v>37800</v>
      </c>
      <c r="I39" s="248">
        <v>37800</v>
      </c>
      <c r="J39" s="248">
        <v>37800</v>
      </c>
      <c r="K39" s="254" t="e">
        <f>SUMIF('[2]2014 Budget'!$A$9:$A$151,C39,'[2]2014 Budget'!$J$9:$J$151)</f>
        <v>#VALUE!</v>
      </c>
      <c r="L39" s="419">
        <v>68580</v>
      </c>
      <c r="M39" s="420">
        <v>37800</v>
      </c>
      <c r="N39" s="303">
        <f t="shared" si="3"/>
        <v>0.55118110236220474</v>
      </c>
      <c r="O39" s="432"/>
      <c r="P39" s="418">
        <f t="shared" si="4"/>
        <v>0</v>
      </c>
      <c r="Q39" s="383">
        <f t="shared" si="5"/>
        <v>37800</v>
      </c>
      <c r="S39" s="384" t="e">
        <f t="shared" si="6"/>
        <v>#VALUE!</v>
      </c>
      <c r="T39" s="433" t="e">
        <f t="shared" si="7"/>
        <v>#VALUE!</v>
      </c>
    </row>
    <row r="40" spans="2:20" x14ac:dyDescent="0.25">
      <c r="C40" s="356">
        <v>4110001.02</v>
      </c>
      <c r="D40" s="374" t="s">
        <v>385</v>
      </c>
      <c r="E40" s="250">
        <v>0</v>
      </c>
      <c r="F40" s="248">
        <v>21006</v>
      </c>
      <c r="G40" s="248">
        <v>22699</v>
      </c>
      <c r="H40" s="248">
        <v>25565</v>
      </c>
      <c r="I40" s="248">
        <v>24970</v>
      </c>
      <c r="J40" s="248">
        <v>25521</v>
      </c>
      <c r="K40" s="254" t="e">
        <f>SUMIF('[2]2014 Budget'!$A$9:$A$151,C40,'[2]2014 Budget'!$J$9:$J$151)</f>
        <v>#VALUE!</v>
      </c>
      <c r="L40" s="419">
        <v>33369</v>
      </c>
      <c r="M40" s="420">
        <v>18393</v>
      </c>
      <c r="N40" s="303">
        <f t="shared" si="3"/>
        <v>0.55120021576912703</v>
      </c>
      <c r="O40" s="432"/>
      <c r="P40" s="418">
        <f t="shared" si="4"/>
        <v>0</v>
      </c>
      <c r="Q40" s="383">
        <f t="shared" si="5"/>
        <v>18393</v>
      </c>
      <c r="S40" s="384" t="e">
        <f t="shared" si="6"/>
        <v>#VALUE!</v>
      </c>
      <c r="T40" s="433" t="e">
        <f t="shared" si="7"/>
        <v>#VALUE!</v>
      </c>
    </row>
    <row r="41" spans="2:20" x14ac:dyDescent="0.25">
      <c r="C41" s="356">
        <v>4190051.02</v>
      </c>
      <c r="D41" s="374" t="s">
        <v>386</v>
      </c>
      <c r="E41" s="250">
        <v>2791</v>
      </c>
      <c r="F41" s="248">
        <v>0</v>
      </c>
      <c r="G41" s="248"/>
      <c r="H41" s="248">
        <v>0</v>
      </c>
      <c r="I41" s="248">
        <v>0</v>
      </c>
      <c r="J41" s="248">
        <v>0</v>
      </c>
      <c r="K41" s="254" t="e">
        <f>SUMIF('[2]2014 Budget'!$A$9:$A$151,C41,'[2]2014 Budget'!$J$9:$J$151)</f>
        <v>#VALUE!</v>
      </c>
      <c r="L41" s="419">
        <v>3504</v>
      </c>
      <c r="M41" s="420">
        <v>0</v>
      </c>
      <c r="N41" s="303">
        <f t="shared" si="3"/>
        <v>0</v>
      </c>
      <c r="O41" s="432"/>
      <c r="P41" s="418">
        <f t="shared" si="4"/>
        <v>0</v>
      </c>
      <c r="Q41" s="383">
        <f t="shared" si="5"/>
        <v>0</v>
      </c>
      <c r="S41" s="384" t="e">
        <f t="shared" si="6"/>
        <v>#VALUE!</v>
      </c>
      <c r="T41" s="433" t="e">
        <f t="shared" si="7"/>
        <v>#VALUE!</v>
      </c>
    </row>
    <row r="42" spans="2:20" x14ac:dyDescent="0.25">
      <c r="C42" s="356">
        <v>4190049.02</v>
      </c>
      <c r="D42" s="374" t="s">
        <v>387</v>
      </c>
      <c r="E42" s="250">
        <v>0</v>
      </c>
      <c r="F42" s="248">
        <v>0</v>
      </c>
      <c r="G42" s="248">
        <v>0</v>
      </c>
      <c r="H42" s="248">
        <v>0</v>
      </c>
      <c r="I42" s="248">
        <v>0</v>
      </c>
      <c r="J42" s="248">
        <v>0</v>
      </c>
      <c r="K42" s="254" t="e">
        <f>SUMIF('[2]2014 Budget'!$A$9:$A$151,C42,'[2]2014 Budget'!$J$9:$J$151)</f>
        <v>#VALUE!</v>
      </c>
      <c r="L42" s="419"/>
      <c r="M42" s="420"/>
      <c r="N42" s="303"/>
      <c r="O42" s="432"/>
      <c r="P42" s="418"/>
      <c r="Q42" s="383">
        <f t="shared" si="5"/>
        <v>0</v>
      </c>
      <c r="S42" s="384" t="e">
        <f t="shared" si="6"/>
        <v>#VALUE!</v>
      </c>
      <c r="T42" s="433" t="e">
        <f t="shared" si="7"/>
        <v>#VALUE!</v>
      </c>
    </row>
    <row r="43" spans="2:20" x14ac:dyDescent="0.25">
      <c r="C43" s="356">
        <v>4190011.02</v>
      </c>
      <c r="D43" s="374" t="s">
        <v>388</v>
      </c>
      <c r="E43" s="250">
        <v>0</v>
      </c>
      <c r="F43" s="248">
        <v>2624</v>
      </c>
      <c r="G43" s="248">
        <v>2260</v>
      </c>
      <c r="H43" s="248">
        <v>1326</v>
      </c>
      <c r="I43" s="248">
        <v>1403</v>
      </c>
      <c r="J43" s="248">
        <v>2407</v>
      </c>
      <c r="K43" s="254" t="e">
        <f>SUMIF('[2]2014 Budget'!$A$9:$A$151,C43,'[2]2014 Budget'!$J$9:$J$151)</f>
        <v>#VALUE!</v>
      </c>
      <c r="L43" s="419">
        <v>3447</v>
      </c>
      <c r="M43" s="420">
        <v>1900</v>
      </c>
      <c r="N43" s="303">
        <f t="shared" si="3"/>
        <v>0.5512039454598201</v>
      </c>
      <c r="O43" s="432"/>
      <c r="P43" s="418">
        <f t="shared" si="4"/>
        <v>0</v>
      </c>
      <c r="Q43" s="383">
        <f t="shared" si="5"/>
        <v>1900</v>
      </c>
      <c r="S43" s="384" t="e">
        <f t="shared" si="6"/>
        <v>#VALUE!</v>
      </c>
      <c r="T43" s="433" t="e">
        <f t="shared" si="7"/>
        <v>#VALUE!</v>
      </c>
    </row>
    <row r="44" spans="2:20" x14ac:dyDescent="0.25">
      <c r="C44" s="356">
        <v>4190004</v>
      </c>
      <c r="D44" s="374" t="s">
        <v>389</v>
      </c>
      <c r="E44" s="250">
        <v>6675</v>
      </c>
      <c r="F44" s="248">
        <f>8363.43*0.5512+3616.85</f>
        <v>8226.7726160000002</v>
      </c>
      <c r="G44" s="248">
        <v>2551</v>
      </c>
      <c r="H44" s="248">
        <v>0</v>
      </c>
      <c r="I44" s="248">
        <v>0</v>
      </c>
      <c r="J44" s="248"/>
      <c r="K44" s="254" t="e">
        <f>SUMIF('[2]2014 Budget'!$A$9:$A$151,C44,'[2]2014 Budget'!$J$9:$J$151)</f>
        <v>#VALUE!</v>
      </c>
      <c r="L44" s="419"/>
      <c r="M44" s="420">
        <v>0</v>
      </c>
      <c r="N44" s="303"/>
      <c r="O44" s="432"/>
      <c r="P44" s="418"/>
      <c r="Q44" s="383">
        <f t="shared" si="5"/>
        <v>0</v>
      </c>
      <c r="S44" s="384" t="e">
        <f t="shared" si="6"/>
        <v>#VALUE!</v>
      </c>
      <c r="T44" s="433" t="e">
        <f t="shared" si="7"/>
        <v>#VALUE!</v>
      </c>
    </row>
    <row r="45" spans="2:20" x14ac:dyDescent="0.25">
      <c r="C45" s="356">
        <v>4190001.01</v>
      </c>
      <c r="D45" s="374" t="s">
        <v>390</v>
      </c>
      <c r="E45" s="250">
        <v>0</v>
      </c>
      <c r="F45" s="248"/>
      <c r="G45" s="248"/>
      <c r="H45" s="248">
        <v>3331</v>
      </c>
      <c r="I45" s="248">
        <v>3541</v>
      </c>
      <c r="J45" s="248">
        <v>3580</v>
      </c>
      <c r="K45" s="304" t="e">
        <f>SUMIF('[2]2014 Budget'!$A$9:$A$151,C45,'[2]2014 Budget'!$J$9:$J$151)</f>
        <v>#VALUE!</v>
      </c>
      <c r="L45" s="434">
        <v>8255</v>
      </c>
      <c r="M45" s="435">
        <v>4550</v>
      </c>
      <c r="N45" s="303">
        <f t="shared" si="3"/>
        <v>0.55118110236220474</v>
      </c>
      <c r="O45" s="432"/>
      <c r="P45" s="418">
        <f t="shared" si="4"/>
        <v>0</v>
      </c>
      <c r="Q45" s="383">
        <f t="shared" si="5"/>
        <v>4550</v>
      </c>
      <c r="S45" s="384" t="e">
        <f t="shared" si="6"/>
        <v>#VALUE!</v>
      </c>
      <c r="T45" s="433" t="e">
        <f t="shared" si="7"/>
        <v>#VALUE!</v>
      </c>
    </row>
    <row r="46" spans="2:20" x14ac:dyDescent="0.25">
      <c r="C46" s="356">
        <v>4190030.01</v>
      </c>
      <c r="D46" s="374" t="s">
        <v>391</v>
      </c>
      <c r="E46" s="250">
        <v>0</v>
      </c>
      <c r="F46" s="248"/>
      <c r="G46" s="248"/>
      <c r="H46" s="248">
        <v>0</v>
      </c>
      <c r="I46" s="248">
        <v>0</v>
      </c>
      <c r="J46" s="248"/>
      <c r="K46" s="254" t="e">
        <f>SUMIF('[2]2014 Budget'!$A$9:$A$151,C46,'[2]2014 Budget'!$J$9:$J$151)</f>
        <v>#VALUE!</v>
      </c>
      <c r="L46" s="419"/>
      <c r="M46" s="420"/>
      <c r="N46" s="303"/>
      <c r="O46" s="432"/>
      <c r="P46" s="418"/>
      <c r="Q46" s="383">
        <f t="shared" si="5"/>
        <v>0</v>
      </c>
      <c r="S46" s="384" t="e">
        <f t="shared" si="6"/>
        <v>#VALUE!</v>
      </c>
      <c r="T46" s="433" t="e">
        <f t="shared" si="7"/>
        <v>#VALUE!</v>
      </c>
    </row>
    <row r="47" spans="2:20" x14ac:dyDescent="0.25">
      <c r="C47" s="356">
        <v>4190008</v>
      </c>
      <c r="D47" s="374" t="s">
        <v>392</v>
      </c>
      <c r="E47" s="250">
        <v>1342</v>
      </c>
      <c r="F47" s="248">
        <f>1500+1628.88</f>
        <v>3128.88</v>
      </c>
      <c r="G47" s="248">
        <v>854</v>
      </c>
      <c r="H47" s="248">
        <v>1321</v>
      </c>
      <c r="I47" s="248">
        <v>1449</v>
      </c>
      <c r="J47" s="248">
        <v>1700</v>
      </c>
      <c r="K47" s="254" t="e">
        <f>SUMIF('[2]2014 Budget'!$A$9:$A$151,C47,'[2]2014 Budget'!$J$9:$J$151)</f>
        <v>#VALUE!</v>
      </c>
      <c r="L47" s="419">
        <v>2226</v>
      </c>
      <c r="M47" s="420">
        <v>1227</v>
      </c>
      <c r="N47" s="303">
        <f t="shared" si="3"/>
        <v>0.55121293800539084</v>
      </c>
      <c r="O47" s="432"/>
      <c r="P47" s="418">
        <f t="shared" si="4"/>
        <v>0</v>
      </c>
      <c r="Q47" s="383">
        <f t="shared" si="5"/>
        <v>1227</v>
      </c>
      <c r="S47" s="384" t="e">
        <f t="shared" si="6"/>
        <v>#VALUE!</v>
      </c>
      <c r="T47" s="433" t="e">
        <f t="shared" si="7"/>
        <v>#VALUE!</v>
      </c>
    </row>
    <row r="48" spans="2:20" x14ac:dyDescent="0.25">
      <c r="D48" s="374" t="s">
        <v>393</v>
      </c>
      <c r="E48" s="250">
        <v>0</v>
      </c>
      <c r="F48" s="248"/>
      <c r="G48" s="248"/>
      <c r="H48" s="248">
        <v>0</v>
      </c>
      <c r="I48" s="248">
        <v>0</v>
      </c>
      <c r="J48" s="248"/>
      <c r="K48" s="254" t="e">
        <f>SUMIF('[2]2014 Budget'!$A$9:$A$151,C48,'[2]2014 Budget'!$J$9:$J$151)</f>
        <v>#VALUE!</v>
      </c>
      <c r="L48" s="419"/>
      <c r="M48" s="420"/>
      <c r="N48" s="303"/>
      <c r="O48" s="432"/>
      <c r="P48" s="418"/>
      <c r="Q48" s="383">
        <f t="shared" si="5"/>
        <v>0</v>
      </c>
      <c r="S48" s="384" t="e">
        <f t="shared" si="6"/>
        <v>#VALUE!</v>
      </c>
      <c r="T48" s="433" t="e">
        <f t="shared" si="7"/>
        <v>#VALUE!</v>
      </c>
    </row>
    <row r="49" spans="1:22" x14ac:dyDescent="0.25">
      <c r="B49" s="356">
        <v>4210001</v>
      </c>
      <c r="C49" s="356">
        <v>4210001</v>
      </c>
      <c r="D49" s="374" t="s">
        <v>394</v>
      </c>
      <c r="E49" s="250">
        <v>0</v>
      </c>
      <c r="F49" s="248"/>
      <c r="G49" s="248"/>
      <c r="H49" s="248">
        <v>0</v>
      </c>
      <c r="I49" s="248">
        <v>14751</v>
      </c>
      <c r="J49" s="248">
        <v>21097</v>
      </c>
      <c r="K49" s="304" t="e">
        <f>SUMIF('[2]2014 Budget'!$A$9:$A$151,C49,'[2]2014 Budget'!$J$9:$J$151)</f>
        <v>#VALUE!</v>
      </c>
      <c r="L49" s="434">
        <v>32741</v>
      </c>
      <c r="M49" s="435">
        <v>32741</v>
      </c>
      <c r="N49" s="303">
        <f t="shared" si="3"/>
        <v>1</v>
      </c>
      <c r="O49" s="432"/>
      <c r="P49" s="418">
        <f t="shared" si="4"/>
        <v>0</v>
      </c>
      <c r="Q49" s="383">
        <f t="shared" si="5"/>
        <v>32741</v>
      </c>
      <c r="S49" s="384" t="e">
        <f t="shared" si="6"/>
        <v>#VALUE!</v>
      </c>
      <c r="T49" s="433" t="e">
        <f t="shared" si="7"/>
        <v>#VALUE!</v>
      </c>
    </row>
    <row r="50" spans="1:22" x14ac:dyDescent="0.25">
      <c r="C50" s="356">
        <v>4220001</v>
      </c>
      <c r="D50" s="374" t="s">
        <v>395</v>
      </c>
      <c r="E50" s="250">
        <v>0</v>
      </c>
      <c r="F50" s="248"/>
      <c r="G50" s="248">
        <v>179</v>
      </c>
      <c r="H50" s="248">
        <v>170</v>
      </c>
      <c r="I50" s="248">
        <v>365</v>
      </c>
      <c r="J50" s="248">
        <v>177</v>
      </c>
      <c r="K50" s="254" t="e">
        <f>SUMIF('[2]2014 Budget'!$A$9:$A$151,C50,'[2]2014 Budget'!$J$9:$J$151)</f>
        <v>#VALUE!</v>
      </c>
      <c r="L50" s="419">
        <v>77</v>
      </c>
      <c r="M50" s="420">
        <v>42</v>
      </c>
      <c r="N50" s="303">
        <f t="shared" si="3"/>
        <v>0.54545454545454541</v>
      </c>
      <c r="O50" s="432"/>
      <c r="P50" s="418">
        <f t="shared" si="4"/>
        <v>0</v>
      </c>
      <c r="Q50" s="383">
        <f t="shared" si="5"/>
        <v>42</v>
      </c>
      <c r="S50" s="384" t="e">
        <f t="shared" si="6"/>
        <v>#VALUE!</v>
      </c>
      <c r="T50" s="433" t="e">
        <f t="shared" si="7"/>
        <v>#VALUE!</v>
      </c>
    </row>
    <row r="51" spans="1:22" x14ac:dyDescent="0.25">
      <c r="D51" s="374" t="s">
        <v>479</v>
      </c>
      <c r="E51" s="250"/>
      <c r="F51" s="248"/>
      <c r="G51" s="248"/>
      <c r="H51" s="248"/>
      <c r="I51" s="248">
        <v>0</v>
      </c>
      <c r="J51" s="248"/>
      <c r="K51" s="254" t="e">
        <f>SUMIF('[2]2014 Budget'!$A$9:$A$151,C51,'[2]2014 Budget'!$J$9:$J$151)</f>
        <v>#VALUE!</v>
      </c>
      <c r="L51" s="419">
        <v>6493</v>
      </c>
      <c r="M51" s="420">
        <v>3579</v>
      </c>
      <c r="N51" s="303">
        <f t="shared" si="3"/>
        <v>0.55120899430155557</v>
      </c>
      <c r="O51" s="432"/>
      <c r="P51" s="418">
        <f t="shared" si="4"/>
        <v>0</v>
      </c>
      <c r="Q51" s="383">
        <f t="shared" si="5"/>
        <v>3579</v>
      </c>
      <c r="S51" s="384" t="e">
        <f t="shared" si="6"/>
        <v>#VALUE!</v>
      </c>
      <c r="T51" s="433" t="e">
        <f t="shared" si="7"/>
        <v>#VALUE!</v>
      </c>
    </row>
    <row r="52" spans="1:22" x14ac:dyDescent="0.25">
      <c r="C52" s="301">
        <v>4192001</v>
      </c>
      <c r="D52" s="374" t="s">
        <v>103</v>
      </c>
      <c r="E52" s="250">
        <v>2709</v>
      </c>
      <c r="F52" s="248">
        <v>1337</v>
      </c>
      <c r="G52" s="248">
        <v>1426</v>
      </c>
      <c r="H52" s="248">
        <v>2697</v>
      </c>
      <c r="I52" s="248">
        <v>2761</v>
      </c>
      <c r="J52" s="248">
        <v>2831</v>
      </c>
      <c r="K52" s="254" t="e">
        <f>SUMIF('[2]2014 Budget'!$A$9:$A$151,C52,'[2]2014 Budget'!$J$9:$J$151)</f>
        <v>#VALUE!</v>
      </c>
      <c r="L52" s="419">
        <v>5160</v>
      </c>
      <c r="M52" s="420">
        <v>2844</v>
      </c>
      <c r="N52" s="303">
        <f t="shared" si="3"/>
        <v>0.55116279069767438</v>
      </c>
      <c r="O52" s="432"/>
      <c r="P52" s="418">
        <f t="shared" si="4"/>
        <v>0</v>
      </c>
      <c r="Q52" s="383">
        <f t="shared" si="5"/>
        <v>2844</v>
      </c>
      <c r="S52" s="384" t="e">
        <f t="shared" si="6"/>
        <v>#VALUE!</v>
      </c>
      <c r="T52" s="433" t="e">
        <f t="shared" si="7"/>
        <v>#VALUE!</v>
      </c>
    </row>
    <row r="53" spans="1:22" x14ac:dyDescent="0.25">
      <c r="C53" s="356">
        <v>4190014</v>
      </c>
      <c r="D53" s="374" t="s">
        <v>7</v>
      </c>
      <c r="E53" s="250">
        <v>5656</v>
      </c>
      <c r="F53" s="248">
        <v>3110</v>
      </c>
      <c r="G53" s="248">
        <v>9518</v>
      </c>
      <c r="H53" s="248">
        <v>9041</v>
      </c>
      <c r="I53" s="248">
        <v>4371</v>
      </c>
      <c r="J53" s="248">
        <v>6438</v>
      </c>
      <c r="K53" s="304" t="e">
        <f>SUMIF('[2]2014 Budget'!$A$9:$A$151,C53,'[2]2014 Budget'!$J$9:$J$151)</f>
        <v>#VALUE!</v>
      </c>
      <c r="L53" s="434">
        <v>12223</v>
      </c>
      <c r="M53" s="435">
        <v>6737</v>
      </c>
      <c r="N53" s="303">
        <f t="shared" si="3"/>
        <v>0.55117401619896911</v>
      </c>
      <c r="O53" s="432"/>
      <c r="P53" s="418">
        <f t="shared" si="4"/>
        <v>0</v>
      </c>
      <c r="Q53" s="383">
        <f t="shared" si="5"/>
        <v>6737</v>
      </c>
      <c r="S53" s="384" t="e">
        <f t="shared" si="6"/>
        <v>#VALUE!</v>
      </c>
      <c r="T53" s="433" t="e">
        <f t="shared" si="7"/>
        <v>#VALUE!</v>
      </c>
    </row>
    <row r="54" spans="1:22" x14ac:dyDescent="0.25">
      <c r="C54" s="356">
        <v>4140001</v>
      </c>
      <c r="D54" s="374" t="s">
        <v>396</v>
      </c>
      <c r="E54" s="250">
        <v>1198</v>
      </c>
      <c r="F54" s="248">
        <v>1000</v>
      </c>
      <c r="G54" s="248">
        <v>884</v>
      </c>
      <c r="H54" s="248">
        <v>566</v>
      </c>
      <c r="I54" s="248">
        <v>365</v>
      </c>
      <c r="J54" s="248">
        <v>892</v>
      </c>
      <c r="K54" s="304" t="e">
        <f>SUMIF('[2]2014 Budget'!$A$9:$A$151,C54,'[2]2014 Budget'!$J$9:$J$151)</f>
        <v>#VALUE!</v>
      </c>
      <c r="L54" s="434">
        <v>4615</v>
      </c>
      <c r="M54" s="435">
        <v>2544</v>
      </c>
      <c r="N54" s="303">
        <f t="shared" si="3"/>
        <v>0.55124593716143011</v>
      </c>
      <c r="O54" s="432"/>
      <c r="P54" s="418">
        <f t="shared" si="4"/>
        <v>0</v>
      </c>
      <c r="Q54" s="383">
        <f t="shared" si="5"/>
        <v>2544</v>
      </c>
      <c r="S54" s="384" t="e">
        <f t="shared" si="6"/>
        <v>#VALUE!</v>
      </c>
      <c r="T54" s="433" t="e">
        <f t="shared" si="7"/>
        <v>#VALUE!</v>
      </c>
    </row>
    <row r="55" spans="1:22" s="372" customFormat="1" x14ac:dyDescent="0.25">
      <c r="A55" s="356"/>
      <c r="B55" s="356"/>
      <c r="C55" s="356">
        <v>4150003</v>
      </c>
      <c r="D55" s="374" t="s">
        <v>397</v>
      </c>
      <c r="E55" s="250">
        <v>0</v>
      </c>
      <c r="F55" s="248">
        <v>326</v>
      </c>
      <c r="G55" s="248">
        <v>1000</v>
      </c>
      <c r="H55" s="248">
        <v>849</v>
      </c>
      <c r="I55" s="248">
        <v>822</v>
      </c>
      <c r="J55" s="248">
        <v>412</v>
      </c>
      <c r="K55" s="254" t="e">
        <f>SUMIF('[2]2014 Budget'!$A$9:$A$151,C55,'[2]2014 Budget'!$J$9:$J$151)</f>
        <v>#VALUE!</v>
      </c>
      <c r="L55" s="419">
        <v>837</v>
      </c>
      <c r="M55" s="420">
        <v>461</v>
      </c>
      <c r="N55" s="303">
        <f t="shared" si="3"/>
        <v>0.5507765830346476</v>
      </c>
      <c r="O55" s="432"/>
      <c r="P55" s="418">
        <f t="shared" si="4"/>
        <v>0</v>
      </c>
      <c r="Q55" s="383">
        <f t="shared" si="5"/>
        <v>461</v>
      </c>
      <c r="S55" s="384" t="e">
        <f t="shared" si="6"/>
        <v>#VALUE!</v>
      </c>
      <c r="T55" s="433" t="e">
        <f t="shared" si="7"/>
        <v>#VALUE!</v>
      </c>
      <c r="U55" s="363"/>
      <c r="V55" s="376"/>
    </row>
    <row r="56" spans="1:22" ht="16.5" thickBot="1" x14ac:dyDescent="0.3">
      <c r="D56" s="382" t="s">
        <v>10</v>
      </c>
      <c r="E56" s="300">
        <f t="shared" ref="E56:M56" si="8">SUM(E26:E55)</f>
        <v>118857</v>
      </c>
      <c r="F56" s="299">
        <f t="shared" si="8"/>
        <v>161455.65261600001</v>
      </c>
      <c r="G56" s="299">
        <f t="shared" si="8"/>
        <v>161274</v>
      </c>
      <c r="H56" s="299">
        <f t="shared" si="8"/>
        <v>168844.58240000001</v>
      </c>
      <c r="I56" s="299">
        <f t="shared" si="8"/>
        <v>158415</v>
      </c>
      <c r="J56" s="261">
        <f>SUM(J26:J55)</f>
        <v>175730</v>
      </c>
      <c r="K56" s="298" t="e">
        <f t="shared" si="8"/>
        <v>#VALUE!</v>
      </c>
      <c r="L56" s="428">
        <f t="shared" si="8"/>
        <v>315972</v>
      </c>
      <c r="M56" s="428">
        <f t="shared" si="8"/>
        <v>172307</v>
      </c>
      <c r="N56" s="429">
        <f>+M56/L56</f>
        <v>0.54532363627156832</v>
      </c>
      <c r="O56" s="430">
        <f>SUM(O26:O55)</f>
        <v>0</v>
      </c>
      <c r="P56" s="431">
        <f>+O56/L56</f>
        <v>0</v>
      </c>
      <c r="Q56" s="383"/>
      <c r="S56" s="373"/>
    </row>
    <row r="57" spans="1:22" ht="16.5" thickTop="1" x14ac:dyDescent="0.25">
      <c r="A57" s="363"/>
      <c r="B57" s="363"/>
      <c r="C57" s="363"/>
      <c r="D57" s="374"/>
      <c r="E57" s="249"/>
      <c r="F57" s="248"/>
      <c r="G57" s="248"/>
      <c r="H57" s="248"/>
      <c r="I57" s="248"/>
      <c r="J57" s="248"/>
      <c r="K57" s="254"/>
      <c r="L57" s="419"/>
      <c r="M57" s="420"/>
      <c r="N57" s="303"/>
      <c r="O57" s="432"/>
      <c r="P57" s="418"/>
      <c r="Q57" s="383">
        <f t="shared" si="5"/>
        <v>0</v>
      </c>
      <c r="S57" s="373"/>
    </row>
    <row r="58" spans="1:22" x14ac:dyDescent="0.25">
      <c r="A58" s="363"/>
      <c r="B58" s="363"/>
      <c r="C58" s="363"/>
      <c r="D58" s="378" t="s">
        <v>398</v>
      </c>
      <c r="E58" s="252"/>
      <c r="F58" s="251"/>
      <c r="G58" s="251"/>
      <c r="H58" s="251"/>
      <c r="I58" s="251"/>
      <c r="J58" s="248"/>
      <c r="K58" s="279"/>
      <c r="L58" s="419"/>
      <c r="M58" s="420"/>
      <c r="N58" s="303"/>
      <c r="O58" s="432"/>
      <c r="P58" s="418"/>
      <c r="Q58" s="383">
        <f t="shared" si="5"/>
        <v>0</v>
      </c>
      <c r="S58" s="373"/>
    </row>
    <row r="59" spans="1:22" x14ac:dyDescent="0.25">
      <c r="C59" s="356">
        <v>4420014</v>
      </c>
      <c r="D59" s="374" t="s">
        <v>399</v>
      </c>
      <c r="E59" s="250">
        <v>0</v>
      </c>
      <c r="F59" s="248">
        <v>1675</v>
      </c>
      <c r="G59" s="248">
        <v>2368</v>
      </c>
      <c r="H59" s="248">
        <v>6554</v>
      </c>
      <c r="I59" s="248">
        <v>4662.2149999999992</v>
      </c>
      <c r="J59" s="248">
        <v>21629</v>
      </c>
      <c r="K59" s="436" t="e">
        <f>SUMIF('[2]2014 Budget'!$A$9:$A$151,C59,'[2]2014 Budget'!$J$9:$J$151)</f>
        <v>#VALUE!</v>
      </c>
      <c r="L59" s="434">
        <v>26859</v>
      </c>
      <c r="M59" s="435">
        <v>14487</v>
      </c>
      <c r="N59" s="303">
        <f>+M59/L59</f>
        <v>0.53937227744889982</v>
      </c>
      <c r="O59" s="432"/>
      <c r="P59" s="418">
        <f>+O59/L59</f>
        <v>0</v>
      </c>
      <c r="Q59" s="383">
        <f t="shared" si="5"/>
        <v>14487</v>
      </c>
      <c r="S59" s="384" t="e">
        <f t="shared" ref="S59:S88" si="9">M59-K59</f>
        <v>#VALUE!</v>
      </c>
      <c r="T59" s="433" t="e">
        <f t="shared" ref="T59:T88" si="10">IF(OR(S59=0,K59=0),"",S59/K59)</f>
        <v>#VALUE!</v>
      </c>
    </row>
    <row r="60" spans="1:22" x14ac:dyDescent="0.25">
      <c r="D60" s="374" t="s">
        <v>476</v>
      </c>
      <c r="E60" s="250"/>
      <c r="F60" s="248"/>
      <c r="G60" s="248"/>
      <c r="H60" s="248"/>
      <c r="I60" s="248">
        <v>1078</v>
      </c>
      <c r="J60" s="248">
        <v>552</v>
      </c>
      <c r="K60" s="254" t="e">
        <f>SUMIF('[2]2014 Budget'!$A$9:$A$151,C60,'[2]2014 Budget'!$J$9:$J$151)</f>
        <v>#VALUE!</v>
      </c>
      <c r="L60" s="419">
        <v>190</v>
      </c>
      <c r="M60" s="420">
        <v>105</v>
      </c>
      <c r="N60" s="303">
        <f>+M60/L60</f>
        <v>0.55263157894736847</v>
      </c>
      <c r="O60" s="432"/>
      <c r="P60" s="418"/>
      <c r="Q60" s="383"/>
      <c r="S60" s="384" t="e">
        <f t="shared" si="9"/>
        <v>#VALUE!</v>
      </c>
      <c r="T60" s="433" t="e">
        <f t="shared" si="10"/>
        <v>#VALUE!</v>
      </c>
    </row>
    <row r="61" spans="1:22" x14ac:dyDescent="0.25">
      <c r="C61" s="356">
        <v>4430093</v>
      </c>
      <c r="D61" s="374" t="s">
        <v>499</v>
      </c>
      <c r="E61" s="250">
        <v>0</v>
      </c>
      <c r="F61" s="248">
        <v>0</v>
      </c>
      <c r="G61" s="248">
        <v>0</v>
      </c>
      <c r="H61" s="248">
        <v>0</v>
      </c>
      <c r="I61" s="248">
        <v>0</v>
      </c>
      <c r="J61" s="248">
        <v>28528</v>
      </c>
      <c r="K61" s="437" t="e">
        <f>SUMIF('[2]2014 Budget'!$A$9:$A$151,C61,'[2]2014 Budget'!$J$9:$J$151)</f>
        <v>#VALUE!</v>
      </c>
      <c r="L61" s="419"/>
      <c r="M61" s="420"/>
      <c r="N61" s="303"/>
      <c r="O61" s="432"/>
      <c r="P61" s="418"/>
      <c r="Q61" s="383">
        <f t="shared" si="5"/>
        <v>0</v>
      </c>
      <c r="S61" s="384" t="e">
        <f t="shared" si="9"/>
        <v>#VALUE!</v>
      </c>
      <c r="T61" s="433" t="e">
        <f t="shared" si="10"/>
        <v>#VALUE!</v>
      </c>
    </row>
    <row r="62" spans="1:22" x14ac:dyDescent="0.25">
      <c r="B62" s="356">
        <v>4430022.05</v>
      </c>
      <c r="C62" s="356">
        <v>4430022.03</v>
      </c>
      <c r="D62" s="374" t="s">
        <v>401</v>
      </c>
      <c r="E62" s="250">
        <v>0</v>
      </c>
      <c r="F62" s="248">
        <v>0</v>
      </c>
      <c r="G62" s="248">
        <v>0</v>
      </c>
      <c r="H62" s="248">
        <v>0</v>
      </c>
      <c r="I62" s="248">
        <v>0</v>
      </c>
      <c r="J62" s="248"/>
      <c r="K62" s="304" t="e">
        <f>SUMIF('[2]2014 Budget'!$A$9:$A$151,C62,'[2]2014 Budget'!$J$9:$J$151)</f>
        <v>#VALUE!</v>
      </c>
      <c r="L62" s="434">
        <v>1273</v>
      </c>
      <c r="M62" s="435">
        <v>702</v>
      </c>
      <c r="N62" s="303">
        <f>+M62/L62</f>
        <v>0.55145326001571093</v>
      </c>
      <c r="O62" s="432"/>
      <c r="P62" s="418">
        <f>+O62/L62</f>
        <v>0</v>
      </c>
      <c r="Q62" s="383">
        <f t="shared" si="5"/>
        <v>702</v>
      </c>
      <c r="S62" s="384" t="e">
        <f t="shared" si="9"/>
        <v>#VALUE!</v>
      </c>
      <c r="T62" s="433" t="e">
        <f t="shared" si="10"/>
        <v>#VALUE!</v>
      </c>
    </row>
    <row r="63" spans="1:22" x14ac:dyDescent="0.25">
      <c r="C63" s="356">
        <v>4430017</v>
      </c>
      <c r="D63" s="374" t="s">
        <v>402</v>
      </c>
      <c r="E63" s="250">
        <v>0</v>
      </c>
      <c r="F63" s="248">
        <v>4684</v>
      </c>
      <c r="G63" s="248">
        <v>781</v>
      </c>
      <c r="H63" s="248">
        <v>1909</v>
      </c>
      <c r="I63" s="248">
        <v>3100</v>
      </c>
      <c r="J63" s="248">
        <v>2277</v>
      </c>
      <c r="K63" s="436" t="e">
        <f>SUMIF('[2]2014 Budget'!$A$9:$A$151,C63,'[2]2014 Budget'!$J$9:$J$151)</f>
        <v>#VALUE!</v>
      </c>
      <c r="L63" s="434">
        <v>7083</v>
      </c>
      <c r="M63" s="435">
        <v>3904</v>
      </c>
      <c r="N63" s="303">
        <f>+M63/L63</f>
        <v>0.55117887900607088</v>
      </c>
      <c r="O63" s="432"/>
      <c r="P63" s="418">
        <f>+O63/L63</f>
        <v>0</v>
      </c>
      <c r="Q63" s="383">
        <f t="shared" si="5"/>
        <v>3904</v>
      </c>
      <c r="S63" s="384" t="e">
        <f t="shared" si="9"/>
        <v>#VALUE!</v>
      </c>
      <c r="T63" s="433" t="e">
        <f t="shared" si="10"/>
        <v>#VALUE!</v>
      </c>
    </row>
    <row r="64" spans="1:22" x14ac:dyDescent="0.25">
      <c r="C64" s="356">
        <v>4430001</v>
      </c>
      <c r="D64" s="374" t="s">
        <v>112</v>
      </c>
      <c r="E64" s="250">
        <v>0</v>
      </c>
      <c r="F64" s="248">
        <v>0</v>
      </c>
      <c r="G64" s="248">
        <v>0</v>
      </c>
      <c r="H64" s="248">
        <v>0</v>
      </c>
      <c r="I64" s="248">
        <v>0</v>
      </c>
      <c r="J64" s="248"/>
      <c r="K64" s="254" t="e">
        <f>SUMIF('[2]2014 Budget'!$A$9:$A$151,C64,'[2]2014 Budget'!$J$9:$J$151)</f>
        <v>#VALUE!</v>
      </c>
      <c r="L64" s="419"/>
      <c r="M64" s="420"/>
      <c r="N64" s="303"/>
      <c r="O64" s="432"/>
      <c r="P64" s="418"/>
      <c r="Q64" s="383">
        <f t="shared" si="5"/>
        <v>0</v>
      </c>
      <c r="S64" s="384" t="e">
        <f t="shared" si="9"/>
        <v>#VALUE!</v>
      </c>
      <c r="T64" s="433" t="e">
        <f t="shared" si="10"/>
        <v>#VALUE!</v>
      </c>
    </row>
    <row r="65" spans="1:20" x14ac:dyDescent="0.25">
      <c r="C65" s="356">
        <v>4430023.0199999996</v>
      </c>
      <c r="D65" s="374" t="s">
        <v>403</v>
      </c>
      <c r="E65" s="250">
        <v>0</v>
      </c>
      <c r="F65" s="248">
        <v>551</v>
      </c>
      <c r="G65" s="248">
        <v>0</v>
      </c>
      <c r="H65" s="248">
        <v>943</v>
      </c>
      <c r="I65" s="248">
        <v>10554</v>
      </c>
      <c r="J65" s="248">
        <v>237</v>
      </c>
      <c r="K65" s="437" t="e">
        <f>SUMIF('[2]2014 Budget'!$A$9:$A$151,C65,'[2]2014 Budget'!$J$9:$J$151)</f>
        <v>#VALUE!</v>
      </c>
      <c r="L65" s="419">
        <v>2372</v>
      </c>
      <c r="M65" s="420">
        <v>1307</v>
      </c>
      <c r="N65" s="303">
        <f>+M65/L65</f>
        <v>0.55101180438448571</v>
      </c>
      <c r="O65" s="432"/>
      <c r="P65" s="418">
        <f>+O65/L65</f>
        <v>0</v>
      </c>
      <c r="Q65" s="383">
        <f t="shared" si="5"/>
        <v>1307</v>
      </c>
      <c r="S65" s="384" t="e">
        <f t="shared" si="9"/>
        <v>#VALUE!</v>
      </c>
      <c r="T65" s="433" t="e">
        <f t="shared" si="10"/>
        <v>#VALUE!</v>
      </c>
    </row>
    <row r="66" spans="1:20" x14ac:dyDescent="0.25">
      <c r="C66" s="356">
        <v>4430013</v>
      </c>
      <c r="D66" s="374" t="s">
        <v>16</v>
      </c>
      <c r="E66" s="250">
        <v>1177</v>
      </c>
      <c r="F66" s="248">
        <v>1198</v>
      </c>
      <c r="G66" s="248">
        <v>4047</v>
      </c>
      <c r="H66" s="248">
        <v>6190</v>
      </c>
      <c r="I66" s="248">
        <v>5938</v>
      </c>
      <c r="J66" s="248">
        <v>10916</v>
      </c>
      <c r="K66" s="436" t="e">
        <f>SUMIF('[2]2014 Budget'!$A$9:$A$151,C66,'[2]2014 Budget'!$J$9:$J$151)</f>
        <v>#VALUE!</v>
      </c>
      <c r="L66" s="434">
        <v>12955</v>
      </c>
      <c r="M66" s="435">
        <v>7849</v>
      </c>
      <c r="N66" s="303">
        <f>+M66/L66</f>
        <v>0.60586646082593598</v>
      </c>
      <c r="O66" s="432"/>
      <c r="P66" s="418">
        <f>+O66/L66</f>
        <v>0</v>
      </c>
      <c r="Q66" s="383">
        <f t="shared" si="5"/>
        <v>7849</v>
      </c>
      <c r="S66" s="384" t="e">
        <f t="shared" si="9"/>
        <v>#VALUE!</v>
      </c>
      <c r="T66" s="433" t="e">
        <f t="shared" si="10"/>
        <v>#VALUE!</v>
      </c>
    </row>
    <row r="67" spans="1:20" x14ac:dyDescent="0.25">
      <c r="D67" s="374" t="s">
        <v>404</v>
      </c>
      <c r="E67" s="250">
        <v>0</v>
      </c>
      <c r="F67" s="248">
        <v>507</v>
      </c>
      <c r="G67" s="248">
        <v>492</v>
      </c>
      <c r="H67" s="248">
        <v>426</v>
      </c>
      <c r="I67" s="248">
        <v>444</v>
      </c>
      <c r="J67" s="248">
        <v>623</v>
      </c>
      <c r="K67" s="437" t="e">
        <f>SUMIF('[2]2014 Budget'!$A$9:$A$151,C67,'[2]2014 Budget'!$J$9:$J$151)</f>
        <v>#VALUE!</v>
      </c>
      <c r="L67" s="419">
        <v>1661</v>
      </c>
      <c r="M67" s="420">
        <v>916</v>
      </c>
      <c r="N67" s="303"/>
      <c r="O67" s="432"/>
      <c r="P67" s="418"/>
      <c r="Q67" s="383">
        <f t="shared" si="5"/>
        <v>916</v>
      </c>
      <c r="S67" s="384" t="e">
        <f t="shared" si="9"/>
        <v>#VALUE!</v>
      </c>
      <c r="T67" s="433" t="e">
        <f t="shared" si="10"/>
        <v>#VALUE!</v>
      </c>
    </row>
    <row r="68" spans="1:20" x14ac:dyDescent="0.25">
      <c r="C68" s="356">
        <v>4410024</v>
      </c>
      <c r="D68" s="374" t="s">
        <v>405</v>
      </c>
      <c r="E68" s="250">
        <v>0</v>
      </c>
      <c r="F68" s="248">
        <v>51118</v>
      </c>
      <c r="G68" s="248">
        <v>53805</v>
      </c>
      <c r="H68" s="248">
        <v>58671</v>
      </c>
      <c r="I68" s="248">
        <v>54794</v>
      </c>
      <c r="J68" s="248">
        <v>56660</v>
      </c>
      <c r="K68" s="436" t="e">
        <f>SUMIF('[2]2014 Budget'!$A$9:$A$151,C68,'[2]2014 Budget'!$J$9:$J$151)</f>
        <v>#VALUE!</v>
      </c>
      <c r="L68" s="434">
        <v>109047</v>
      </c>
      <c r="M68" s="435">
        <v>60105</v>
      </c>
      <c r="N68" s="303">
        <f>+M68/L68</f>
        <v>0.55118435170155988</v>
      </c>
      <c r="O68" s="432"/>
      <c r="P68" s="418">
        <f>+O68/L68</f>
        <v>0</v>
      </c>
      <c r="Q68" s="383">
        <f t="shared" si="5"/>
        <v>60105</v>
      </c>
      <c r="S68" s="384" t="e">
        <f t="shared" si="9"/>
        <v>#VALUE!</v>
      </c>
      <c r="T68" s="433" t="e">
        <f t="shared" si="10"/>
        <v>#VALUE!</v>
      </c>
    </row>
    <row r="69" spans="1:20" x14ac:dyDescent="0.25">
      <c r="B69" s="356">
        <v>4420001.0199999996</v>
      </c>
      <c r="C69" s="356">
        <v>4420001.01</v>
      </c>
      <c r="D69" s="374" t="s">
        <v>406</v>
      </c>
      <c r="E69" s="250">
        <v>0</v>
      </c>
      <c r="F69" s="248">
        <v>5214</v>
      </c>
      <c r="G69" s="248">
        <v>2528</v>
      </c>
      <c r="H69" s="248">
        <v>5684</v>
      </c>
      <c r="I69" s="248">
        <v>4289</v>
      </c>
      <c r="J69" s="248">
        <v>4592</v>
      </c>
      <c r="K69" s="437" t="e">
        <f>SUMIF('[2]2014 Budget'!$A$9:$A$151,C69,'[2]2014 Budget'!$J$9:$J$151)</f>
        <v>#VALUE!</v>
      </c>
      <c r="L69" s="419">
        <v>6863</v>
      </c>
      <c r="M69" s="420">
        <v>3783</v>
      </c>
      <c r="N69" s="303">
        <f>+M69/L69</f>
        <v>0.55121666909514788</v>
      </c>
      <c r="O69" s="432"/>
      <c r="P69" s="418">
        <f>+O69/L69</f>
        <v>0</v>
      </c>
      <c r="Q69" s="383">
        <f t="shared" si="5"/>
        <v>3783</v>
      </c>
      <c r="S69" s="384" t="e">
        <f t="shared" si="9"/>
        <v>#VALUE!</v>
      </c>
      <c r="T69" s="433" t="e">
        <f t="shared" si="10"/>
        <v>#VALUE!</v>
      </c>
    </row>
    <row r="70" spans="1:20" x14ac:dyDescent="0.25">
      <c r="A70" s="356">
        <v>4430011.01</v>
      </c>
      <c r="B70" s="356">
        <v>4420001.04</v>
      </c>
      <c r="C70" s="356">
        <v>4430011.0199999996</v>
      </c>
      <c r="D70" s="374" t="s">
        <v>407</v>
      </c>
      <c r="E70" s="250">
        <v>0</v>
      </c>
      <c r="F70" s="248">
        <f>12680+5716.92</f>
        <v>18396.919999999998</v>
      </c>
      <c r="G70" s="248">
        <v>8358</v>
      </c>
      <c r="H70" s="248">
        <v>9033</v>
      </c>
      <c r="I70" s="248">
        <v>11543</v>
      </c>
      <c r="J70" s="248">
        <v>12735</v>
      </c>
      <c r="K70" s="436" t="e">
        <f>SUMIF('[2]2014 Budget'!$A$9:$A$151,C70,'[2]2014 Budget'!$J$9:$J$151)</f>
        <v>#VALUE!</v>
      </c>
      <c r="L70" s="434">
        <v>24925</v>
      </c>
      <c r="M70" s="435">
        <v>13738</v>
      </c>
      <c r="N70" s="303">
        <f>+M70/L70</f>
        <v>0.551173520561685</v>
      </c>
      <c r="O70" s="432"/>
      <c r="P70" s="418">
        <f>+O70/L70</f>
        <v>0</v>
      </c>
      <c r="Q70" s="383">
        <f t="shared" si="5"/>
        <v>13738</v>
      </c>
      <c r="S70" s="384" t="e">
        <f t="shared" si="9"/>
        <v>#VALUE!</v>
      </c>
      <c r="T70" s="433" t="e">
        <f t="shared" si="10"/>
        <v>#VALUE!</v>
      </c>
    </row>
    <row r="71" spans="1:20" x14ac:dyDescent="0.25">
      <c r="B71" s="356">
        <v>4410029.01</v>
      </c>
      <c r="C71" s="356">
        <v>4410065.0199999996</v>
      </c>
      <c r="D71" s="374" t="s">
        <v>21</v>
      </c>
      <c r="E71" s="250">
        <v>28681</v>
      </c>
      <c r="F71" s="248"/>
      <c r="G71" s="248">
        <v>0</v>
      </c>
      <c r="H71" s="248">
        <v>0</v>
      </c>
      <c r="I71" s="248">
        <v>0</v>
      </c>
      <c r="J71" s="248"/>
      <c r="K71" s="254" t="e">
        <f>SUMIF('[2]2014 Budget'!$A$9:$A$151,C71,'[2]2014 Budget'!$J$9:$J$151)</f>
        <v>#VALUE!</v>
      </c>
      <c r="L71" s="419"/>
      <c r="M71" s="420"/>
      <c r="N71" s="303"/>
      <c r="O71" s="432"/>
      <c r="P71" s="418"/>
      <c r="Q71" s="383">
        <f t="shared" si="5"/>
        <v>0</v>
      </c>
      <c r="S71" s="384" t="e">
        <f t="shared" si="9"/>
        <v>#VALUE!</v>
      </c>
      <c r="T71" s="433" t="e">
        <f t="shared" si="10"/>
        <v>#VALUE!</v>
      </c>
    </row>
    <row r="72" spans="1:20" x14ac:dyDescent="0.25">
      <c r="C72" s="356">
        <v>4420001.03</v>
      </c>
      <c r="D72" s="374" t="s">
        <v>323</v>
      </c>
      <c r="E72" s="250">
        <v>8319</v>
      </c>
      <c r="F72" s="248"/>
      <c r="G72" s="248">
        <v>0</v>
      </c>
      <c r="H72" s="248">
        <v>0</v>
      </c>
      <c r="I72" s="248">
        <v>0</v>
      </c>
      <c r="J72" s="248"/>
      <c r="K72" s="254" t="e">
        <f>SUMIF('[2]2014 Budget'!$A$9:$A$151,C72,'[2]2014 Budget'!$J$9:$J$151)</f>
        <v>#VALUE!</v>
      </c>
      <c r="L72" s="419"/>
      <c r="M72" s="420"/>
      <c r="N72" s="303"/>
      <c r="O72" s="432"/>
      <c r="P72" s="418"/>
      <c r="Q72" s="383">
        <f t="shared" si="5"/>
        <v>0</v>
      </c>
      <c r="S72" s="384" t="e">
        <f t="shared" si="9"/>
        <v>#VALUE!</v>
      </c>
      <c r="T72" s="433" t="e">
        <f t="shared" si="10"/>
        <v>#VALUE!</v>
      </c>
    </row>
    <row r="73" spans="1:20" x14ac:dyDescent="0.25">
      <c r="D73" s="374" t="s">
        <v>408</v>
      </c>
      <c r="E73" s="250">
        <v>527</v>
      </c>
      <c r="F73" s="248">
        <v>0</v>
      </c>
      <c r="G73" s="248">
        <v>8316</v>
      </c>
      <c r="H73" s="248"/>
      <c r="I73" s="248">
        <v>0</v>
      </c>
      <c r="J73" s="248"/>
      <c r="K73" s="254" t="e">
        <f>SUMIF('[2]2014 Budget'!$A$9:$A$151,C73,'[2]2014 Budget'!$J$9:$J$151)</f>
        <v>#VALUE!</v>
      </c>
      <c r="L73" s="419"/>
      <c r="M73" s="420"/>
      <c r="N73" s="303"/>
      <c r="O73" s="432"/>
      <c r="P73" s="418"/>
      <c r="Q73" s="383">
        <f t="shared" si="5"/>
        <v>0</v>
      </c>
      <c r="R73" s="363" t="s">
        <v>472</v>
      </c>
      <c r="S73" s="384" t="e">
        <f t="shared" si="9"/>
        <v>#VALUE!</v>
      </c>
      <c r="T73" s="433" t="e">
        <f t="shared" si="10"/>
        <v>#VALUE!</v>
      </c>
    </row>
    <row r="74" spans="1:20" x14ac:dyDescent="0.25">
      <c r="B74" s="363"/>
      <c r="C74" s="356">
        <v>4420013</v>
      </c>
      <c r="D74" s="374" t="s">
        <v>409</v>
      </c>
      <c r="E74" s="250">
        <v>1450</v>
      </c>
      <c r="F74" s="248">
        <v>11937</v>
      </c>
      <c r="G74" s="248">
        <v>5255</v>
      </c>
      <c r="H74" s="248">
        <v>10244</v>
      </c>
      <c r="I74" s="248">
        <v>27584</v>
      </c>
      <c r="J74" s="248">
        <v>27918</v>
      </c>
      <c r="K74" s="437" t="e">
        <f>SUMIF('[2]2014 Budget'!$A$9:$A$151,C74,'[2]2014 Budget'!$J$9:$J$151)</f>
        <v>#VALUE!</v>
      </c>
      <c r="L74" s="419">
        <v>42037</v>
      </c>
      <c r="M74" s="420">
        <v>15903</v>
      </c>
      <c r="N74" s="303"/>
      <c r="O74" s="432"/>
      <c r="P74" s="418"/>
      <c r="Q74" s="383">
        <f t="shared" si="5"/>
        <v>15903</v>
      </c>
      <c r="S74" s="384" t="e">
        <f t="shared" si="9"/>
        <v>#VALUE!</v>
      </c>
      <c r="T74" s="433" t="e">
        <f t="shared" si="10"/>
        <v>#VALUE!</v>
      </c>
    </row>
    <row r="75" spans="1:20" x14ac:dyDescent="0.25">
      <c r="D75" s="374" t="s">
        <v>410</v>
      </c>
      <c r="E75" s="250">
        <v>0</v>
      </c>
      <c r="F75" s="248"/>
      <c r="G75" s="248">
        <v>0</v>
      </c>
      <c r="H75" s="248">
        <v>0</v>
      </c>
      <c r="I75" s="248">
        <v>0</v>
      </c>
      <c r="J75" s="248"/>
      <c r="K75" s="254" t="e">
        <f>SUMIF('[2]2014 Budget'!$A$9:$A$151,C75,'[2]2014 Budget'!$J$9:$J$151)</f>
        <v>#VALUE!</v>
      </c>
      <c r="L75" s="419"/>
      <c r="M75" s="420"/>
      <c r="N75" s="303"/>
      <c r="O75" s="432"/>
      <c r="P75" s="418"/>
      <c r="Q75" s="383">
        <f t="shared" si="5"/>
        <v>0</v>
      </c>
      <c r="S75" s="384" t="e">
        <f t="shared" si="9"/>
        <v>#VALUE!</v>
      </c>
      <c r="T75" s="433" t="e">
        <f t="shared" si="10"/>
        <v>#VALUE!</v>
      </c>
    </row>
    <row r="76" spans="1:20" x14ac:dyDescent="0.25">
      <c r="C76" s="356">
        <v>4430103</v>
      </c>
      <c r="D76" s="374" t="s">
        <v>411</v>
      </c>
      <c r="E76" s="250">
        <v>1807</v>
      </c>
      <c r="F76" s="248">
        <v>7769</v>
      </c>
      <c r="G76" s="248">
        <v>2548</v>
      </c>
      <c r="H76" s="248">
        <v>3712</v>
      </c>
      <c r="I76" s="248">
        <v>4255</v>
      </c>
      <c r="J76" s="248">
        <v>6362</v>
      </c>
      <c r="K76" s="304" t="e">
        <f>SUMIF('[2]2014 Budget'!$A$9:$A$151,C76,'[2]2014 Budget'!$J$9:$J$151)</f>
        <v>#VALUE!</v>
      </c>
      <c r="L76" s="434">
        <v>12006</v>
      </c>
      <c r="M76" s="435">
        <v>6282</v>
      </c>
      <c r="N76" s="303"/>
      <c r="O76" s="432"/>
      <c r="P76" s="418"/>
      <c r="Q76" s="383">
        <f t="shared" si="5"/>
        <v>6282</v>
      </c>
      <c r="S76" s="384" t="e">
        <f t="shared" si="9"/>
        <v>#VALUE!</v>
      </c>
      <c r="T76" s="433" t="e">
        <f t="shared" si="10"/>
        <v>#VALUE!</v>
      </c>
    </row>
    <row r="77" spans="1:20" x14ac:dyDescent="0.25">
      <c r="B77" s="356">
        <v>4420012</v>
      </c>
      <c r="C77" s="356">
        <v>4430022.04</v>
      </c>
      <c r="D77" s="374" t="s">
        <v>412</v>
      </c>
      <c r="E77" s="250">
        <v>1419</v>
      </c>
      <c r="F77" s="248">
        <v>9509</v>
      </c>
      <c r="G77" s="248">
        <v>1356</v>
      </c>
      <c r="H77" s="248">
        <v>12804</v>
      </c>
      <c r="I77" s="248">
        <v>22421</v>
      </c>
      <c r="J77" s="248"/>
      <c r="K77" s="436" t="e">
        <f>SUMIF('[2]2014 Budget'!$A$9:$A$151,C77,'[2]2014 Budget'!$J$9:$J$151)</f>
        <v>#VALUE!</v>
      </c>
      <c r="L77" s="434">
        <v>48603</v>
      </c>
      <c r="M77" s="435">
        <v>30548</v>
      </c>
      <c r="N77" s="303"/>
      <c r="O77" s="432"/>
      <c r="P77" s="418"/>
      <c r="Q77" s="383">
        <f t="shared" si="5"/>
        <v>30548</v>
      </c>
      <c r="S77" s="384" t="e">
        <f t="shared" si="9"/>
        <v>#VALUE!</v>
      </c>
      <c r="T77" s="433" t="e">
        <f t="shared" si="10"/>
        <v>#VALUE!</v>
      </c>
    </row>
    <row r="78" spans="1:20" x14ac:dyDescent="0.25">
      <c r="B78" s="356">
        <v>4420010</v>
      </c>
      <c r="C78" s="356">
        <v>4430018</v>
      </c>
      <c r="D78" s="374" t="s">
        <v>413</v>
      </c>
      <c r="E78" s="250">
        <v>0</v>
      </c>
      <c r="F78" s="248">
        <v>710</v>
      </c>
      <c r="G78" s="248">
        <v>671</v>
      </c>
      <c r="H78" s="248">
        <v>1619</v>
      </c>
      <c r="I78" s="248">
        <v>1976</v>
      </c>
      <c r="J78" s="248">
        <v>2493</v>
      </c>
      <c r="K78" s="437" t="e">
        <f>SUMIF('[2]2014 Budget'!$A$9:$A$151,C78,'[2]2014 Budget'!$J$9:$J$151)</f>
        <v>#VALUE!</v>
      </c>
      <c r="L78" s="419">
        <v>5091</v>
      </c>
      <c r="M78" s="420">
        <v>2806</v>
      </c>
      <c r="N78" s="303"/>
      <c r="O78" s="432"/>
      <c r="P78" s="418"/>
      <c r="Q78" s="383">
        <f t="shared" si="5"/>
        <v>2806</v>
      </c>
      <c r="S78" s="384" t="e">
        <f t="shared" si="9"/>
        <v>#VALUE!</v>
      </c>
      <c r="T78" s="433" t="e">
        <f t="shared" si="10"/>
        <v>#VALUE!</v>
      </c>
    </row>
    <row r="79" spans="1:20" x14ac:dyDescent="0.25">
      <c r="C79" s="301">
        <v>4430022.05</v>
      </c>
      <c r="D79" s="374" t="s">
        <v>113</v>
      </c>
      <c r="E79" s="250"/>
      <c r="F79" s="248"/>
      <c r="G79" s="248">
        <v>0</v>
      </c>
      <c r="H79" s="248">
        <v>0</v>
      </c>
      <c r="I79" s="248">
        <v>1388</v>
      </c>
      <c r="J79" s="248">
        <v>1568</v>
      </c>
      <c r="K79" s="437" t="e">
        <f>SUMIF('[2]2014 Budget'!$A$9:$A$151,C79,'[2]2014 Budget'!$J$9:$J$151)</f>
        <v>#VALUE!</v>
      </c>
      <c r="L79" s="419"/>
      <c r="M79" s="420"/>
      <c r="N79" s="303"/>
      <c r="O79" s="432"/>
      <c r="P79" s="418"/>
      <c r="Q79" s="383">
        <f t="shared" si="5"/>
        <v>0</v>
      </c>
      <c r="S79" s="384" t="e">
        <f t="shared" si="9"/>
        <v>#VALUE!</v>
      </c>
      <c r="T79" s="433" t="e">
        <f t="shared" si="10"/>
        <v>#VALUE!</v>
      </c>
    </row>
    <row r="80" spans="1:20" x14ac:dyDescent="0.25">
      <c r="C80" s="301"/>
      <c r="D80" s="374" t="s">
        <v>540</v>
      </c>
      <c r="E80" s="250"/>
      <c r="F80" s="248"/>
      <c r="G80" s="248"/>
      <c r="H80" s="248"/>
      <c r="I80" s="248"/>
      <c r="J80" s="248"/>
      <c r="K80" s="437">
        <v>2475</v>
      </c>
      <c r="L80" s="419"/>
      <c r="M80" s="420"/>
      <c r="N80" s="303"/>
      <c r="O80" s="432"/>
      <c r="P80" s="418"/>
      <c r="Q80" s="383"/>
      <c r="S80" s="384"/>
      <c r="T80" s="433"/>
    </row>
    <row r="81" spans="1:22" x14ac:dyDescent="0.25">
      <c r="C81" s="305">
        <v>4420011</v>
      </c>
      <c r="D81" s="374" t="s">
        <v>414</v>
      </c>
      <c r="E81" s="250">
        <v>0</v>
      </c>
      <c r="F81" s="248">
        <v>3126</v>
      </c>
      <c r="G81" s="248">
        <v>2605</v>
      </c>
      <c r="H81" s="248">
        <v>3940</v>
      </c>
      <c r="I81" s="248">
        <v>7939</v>
      </c>
      <c r="J81" s="248">
        <v>14954</v>
      </c>
      <c r="K81" s="436" t="e">
        <f>SUMIF('[2]2014 Budget'!$A$9:$A$151,C81,'[2]2014 Budget'!$J$9:$J$151)</f>
        <v>#VALUE!</v>
      </c>
      <c r="L81" s="434">
        <v>26677</v>
      </c>
      <c r="M81" s="435">
        <v>14704</v>
      </c>
      <c r="N81" s="303"/>
      <c r="O81" s="432"/>
      <c r="P81" s="418"/>
      <c r="Q81" s="383">
        <f t="shared" si="5"/>
        <v>14704</v>
      </c>
      <c r="S81" s="384" t="e">
        <f t="shared" si="9"/>
        <v>#VALUE!</v>
      </c>
      <c r="T81" s="433" t="e">
        <f t="shared" si="10"/>
        <v>#VALUE!</v>
      </c>
    </row>
    <row r="82" spans="1:22" x14ac:dyDescent="0.25">
      <c r="C82" s="356">
        <v>4430003</v>
      </c>
      <c r="D82" s="374" t="s">
        <v>17</v>
      </c>
      <c r="E82" s="250">
        <v>3274</v>
      </c>
      <c r="F82" s="248">
        <v>9193</v>
      </c>
      <c r="G82" s="248">
        <v>9783</v>
      </c>
      <c r="H82" s="248">
        <v>10046</v>
      </c>
      <c r="I82" s="248">
        <v>10451</v>
      </c>
      <c r="J82" s="248">
        <v>7961</v>
      </c>
      <c r="K82" s="437" t="e">
        <f>SUMIF('[2]2014 Budget'!$A$9:$A$151,C82,'[2]2014 Budget'!$J$9:$J$151)</f>
        <v>#VALUE!</v>
      </c>
      <c r="L82" s="419">
        <v>17930</v>
      </c>
      <c r="M82" s="420">
        <v>9883</v>
      </c>
      <c r="N82" s="303">
        <f>+M82/L82</f>
        <v>0.55119910764082547</v>
      </c>
      <c r="O82" s="417"/>
      <c r="P82" s="418">
        <f>+O82/L82</f>
        <v>0</v>
      </c>
      <c r="Q82" s="383">
        <f t="shared" si="5"/>
        <v>9883</v>
      </c>
      <c r="S82" s="384" t="e">
        <f t="shared" si="9"/>
        <v>#VALUE!</v>
      </c>
      <c r="T82" s="433" t="e">
        <f t="shared" si="10"/>
        <v>#VALUE!</v>
      </c>
    </row>
    <row r="83" spans="1:22" x14ac:dyDescent="0.25">
      <c r="C83" s="356">
        <v>4480001</v>
      </c>
      <c r="D83" s="374" t="s">
        <v>415</v>
      </c>
      <c r="E83" s="250">
        <v>587</v>
      </c>
      <c r="F83" s="248">
        <v>482</v>
      </c>
      <c r="G83" s="248">
        <v>315</v>
      </c>
      <c r="H83" s="248">
        <v>20935</v>
      </c>
      <c r="I83" s="248">
        <v>13252</v>
      </c>
      <c r="J83" s="248">
        <v>11363</v>
      </c>
      <c r="K83" s="437" t="e">
        <f>SUMIF('[2]2014 Budget'!$A$9:$A$151,C83,'[2]2014 Budget'!$J$9:$J$151)</f>
        <v>#VALUE!</v>
      </c>
      <c r="L83" s="419">
        <v>20496</v>
      </c>
      <c r="M83" s="420">
        <v>11297</v>
      </c>
      <c r="N83" s="303">
        <f>+M83/L83</f>
        <v>0.5511807181889149</v>
      </c>
      <c r="O83" s="417"/>
      <c r="P83" s="418">
        <f>+O83/L83</f>
        <v>0</v>
      </c>
      <c r="Q83" s="383">
        <f t="shared" si="5"/>
        <v>11297</v>
      </c>
      <c r="S83" s="384" t="e">
        <f t="shared" si="9"/>
        <v>#VALUE!</v>
      </c>
      <c r="T83" s="433" t="e">
        <f t="shared" si="10"/>
        <v>#VALUE!</v>
      </c>
    </row>
    <row r="84" spans="1:22" x14ac:dyDescent="0.25">
      <c r="B84" s="356">
        <v>4420001.0199999996</v>
      </c>
      <c r="D84" s="374" t="s">
        <v>416</v>
      </c>
      <c r="E84" s="250"/>
      <c r="F84" s="248">
        <v>1278</v>
      </c>
      <c r="G84" s="248">
        <v>1006</v>
      </c>
      <c r="H84" s="248">
        <v>0</v>
      </c>
      <c r="I84" s="248">
        <v>0</v>
      </c>
      <c r="J84" s="248"/>
      <c r="K84" s="437" t="e">
        <f>SUMIF('[2]2014 Budget'!$A$9:$A$151,C84,'[2]2014 Budget'!$J$9:$J$151)</f>
        <v>#VALUE!</v>
      </c>
      <c r="L84" s="419"/>
      <c r="M84" s="420"/>
      <c r="N84" s="303"/>
      <c r="O84" s="417"/>
      <c r="P84" s="418"/>
      <c r="Q84" s="383">
        <f t="shared" si="5"/>
        <v>0</v>
      </c>
      <c r="S84" s="384" t="e">
        <f t="shared" si="9"/>
        <v>#VALUE!</v>
      </c>
      <c r="T84" s="433" t="e">
        <f t="shared" si="10"/>
        <v>#VALUE!</v>
      </c>
    </row>
    <row r="85" spans="1:22" x14ac:dyDescent="0.25">
      <c r="C85" s="356">
        <v>4430012</v>
      </c>
      <c r="D85" s="374" t="s">
        <v>417</v>
      </c>
      <c r="E85" s="250">
        <v>30544</v>
      </c>
      <c r="F85" s="248">
        <v>21867</v>
      </c>
      <c r="G85" s="248">
        <v>24516</v>
      </c>
      <c r="H85" s="248">
        <v>9516</v>
      </c>
      <c r="I85" s="248">
        <v>5607</v>
      </c>
      <c r="J85" s="248">
        <v>11803</v>
      </c>
      <c r="K85" s="437" t="e">
        <f>SUMIF('[2]2014 Budget'!$A$9:$A$151,C85,'[2]2014 Budget'!$J$9:$J$151)</f>
        <v>#VALUE!</v>
      </c>
      <c r="L85" s="419">
        <v>30330</v>
      </c>
      <c r="M85" s="420">
        <v>16717</v>
      </c>
      <c r="N85" s="303"/>
      <c r="O85" s="417"/>
      <c r="P85" s="418"/>
      <c r="Q85" s="383">
        <f t="shared" si="5"/>
        <v>16717</v>
      </c>
      <c r="S85" s="384" t="e">
        <f t="shared" si="9"/>
        <v>#VALUE!</v>
      </c>
      <c r="T85" s="433" t="e">
        <f t="shared" si="10"/>
        <v>#VALUE!</v>
      </c>
    </row>
    <row r="86" spans="1:22" x14ac:dyDescent="0.25">
      <c r="C86" s="305">
        <v>4430023.01</v>
      </c>
      <c r="D86" s="374" t="s">
        <v>418</v>
      </c>
      <c r="E86" s="250"/>
      <c r="F86" s="248">
        <v>0</v>
      </c>
      <c r="G86" s="248"/>
      <c r="H86" s="248">
        <v>0</v>
      </c>
      <c r="I86" s="248">
        <v>0</v>
      </c>
      <c r="J86" s="248"/>
      <c r="K86" s="437" t="e">
        <f>SUMIF('[2]2014 Budget'!$A$9:$A$151,C86,'[2]2014 Budget'!$J$9:$J$151)</f>
        <v>#VALUE!</v>
      </c>
      <c r="L86" s="419"/>
      <c r="M86" s="420"/>
      <c r="N86" s="303"/>
      <c r="O86" s="417"/>
      <c r="P86" s="418"/>
      <c r="Q86" s="383">
        <f t="shared" si="5"/>
        <v>0</v>
      </c>
      <c r="S86" s="384" t="e">
        <f t="shared" si="9"/>
        <v>#VALUE!</v>
      </c>
      <c r="T86" s="433" t="e">
        <f t="shared" si="10"/>
        <v>#VALUE!</v>
      </c>
    </row>
    <row r="87" spans="1:22" x14ac:dyDescent="0.25">
      <c r="C87" s="356">
        <v>4430021</v>
      </c>
      <c r="D87" s="374" t="s">
        <v>32</v>
      </c>
      <c r="E87" s="250">
        <v>0</v>
      </c>
      <c r="F87" s="248">
        <v>123</v>
      </c>
      <c r="G87" s="248">
        <v>83</v>
      </c>
      <c r="H87" s="248">
        <v>308</v>
      </c>
      <c r="I87" s="248">
        <v>111</v>
      </c>
      <c r="J87" s="248">
        <v>352</v>
      </c>
      <c r="K87" s="437" t="e">
        <f>SUMIF('[2]2014 Budget'!$A$9:$A$151,C87,'[2]2014 Budget'!$J$9:$J$151)</f>
        <v>#VALUE!</v>
      </c>
      <c r="L87" s="419">
        <v>360</v>
      </c>
      <c r="M87" s="420">
        <v>198</v>
      </c>
      <c r="N87" s="303">
        <f>+M87/L87</f>
        <v>0.55000000000000004</v>
      </c>
      <c r="O87" s="417"/>
      <c r="P87" s="418">
        <f>+O87/L87</f>
        <v>0</v>
      </c>
      <c r="Q87" s="383">
        <f t="shared" si="5"/>
        <v>198</v>
      </c>
      <c r="S87" s="384" t="e">
        <f t="shared" si="9"/>
        <v>#VALUE!</v>
      </c>
      <c r="T87" s="433" t="e">
        <f t="shared" si="10"/>
        <v>#VALUE!</v>
      </c>
    </row>
    <row r="88" spans="1:22" s="372" customFormat="1" x14ac:dyDescent="0.25">
      <c r="A88" s="356"/>
      <c r="B88" s="356"/>
      <c r="C88" s="356">
        <v>4430008</v>
      </c>
      <c r="D88" s="374" t="s">
        <v>419</v>
      </c>
      <c r="E88" s="250">
        <v>137</v>
      </c>
      <c r="F88" s="248">
        <v>286</v>
      </c>
      <c r="G88" s="248">
        <v>15</v>
      </c>
      <c r="H88" s="248">
        <v>154</v>
      </c>
      <c r="I88" s="248">
        <v>0</v>
      </c>
      <c r="J88" s="248">
        <v>807</v>
      </c>
      <c r="K88" s="254" t="e">
        <f>SUMIF('[2]2014 Budget'!$A$9:$A$151,C88,'[2]2014 Budget'!$J$9:$J$151)</f>
        <v>#VALUE!</v>
      </c>
      <c r="L88" s="419">
        <v>958</v>
      </c>
      <c r="M88" s="420">
        <v>528</v>
      </c>
      <c r="N88" s="303">
        <f>+M88/L88</f>
        <v>0.55114822546972864</v>
      </c>
      <c r="O88" s="417"/>
      <c r="P88" s="418"/>
      <c r="Q88" s="383">
        <f t="shared" si="5"/>
        <v>528</v>
      </c>
      <c r="S88" s="384" t="e">
        <f t="shared" si="9"/>
        <v>#VALUE!</v>
      </c>
      <c r="T88" s="433" t="e">
        <f t="shared" si="10"/>
        <v>#VALUE!</v>
      </c>
      <c r="U88" s="363"/>
      <c r="V88" s="376"/>
    </row>
    <row r="89" spans="1:22" ht="16.5" thickBot="1" x14ac:dyDescent="0.3">
      <c r="C89" s="363"/>
      <c r="D89" s="385" t="s">
        <v>420</v>
      </c>
      <c r="E89" s="300">
        <f t="shared" ref="E89:M89" si="11">SUM(E59:E88)</f>
        <v>77922</v>
      </c>
      <c r="F89" s="299">
        <f t="shared" si="11"/>
        <v>149623.91999999998</v>
      </c>
      <c r="G89" s="299">
        <f t="shared" si="11"/>
        <v>128848</v>
      </c>
      <c r="H89" s="299">
        <f t="shared" si="11"/>
        <v>162688</v>
      </c>
      <c r="I89" s="299">
        <f t="shared" si="11"/>
        <v>191386.215</v>
      </c>
      <c r="J89" s="261">
        <f t="shared" si="11"/>
        <v>224330</v>
      </c>
      <c r="K89" s="298" t="e">
        <f t="shared" si="11"/>
        <v>#VALUE!</v>
      </c>
      <c r="L89" s="428">
        <f t="shared" si="11"/>
        <v>397716</v>
      </c>
      <c r="M89" s="428">
        <f t="shared" si="11"/>
        <v>215762</v>
      </c>
      <c r="N89" s="429">
        <f>+M89/L89</f>
        <v>0.54250269036196686</v>
      </c>
      <c r="O89" s="438">
        <f>SUM(O59:O88)</f>
        <v>0</v>
      </c>
      <c r="P89" s="431">
        <f>+O89/L89</f>
        <v>0</v>
      </c>
      <c r="Q89" s="383"/>
      <c r="S89" s="373"/>
    </row>
    <row r="90" spans="1:22" ht="16.5" thickTop="1" x14ac:dyDescent="0.25">
      <c r="D90" s="386"/>
      <c r="E90" s="310"/>
      <c r="F90" s="309"/>
      <c r="G90" s="309"/>
      <c r="H90" s="309"/>
      <c r="I90" s="309"/>
      <c r="J90" s="248"/>
      <c r="K90" s="308"/>
      <c r="L90" s="419"/>
      <c r="M90" s="420"/>
      <c r="N90" s="245"/>
      <c r="O90" s="417"/>
      <c r="P90" s="418"/>
      <c r="Q90" s="383">
        <f t="shared" si="5"/>
        <v>0</v>
      </c>
      <c r="S90" s="373"/>
    </row>
    <row r="91" spans="1:22" x14ac:dyDescent="0.25">
      <c r="D91" s="386" t="s">
        <v>36</v>
      </c>
      <c r="E91" s="310"/>
      <c r="F91" s="309"/>
      <c r="G91" s="309"/>
      <c r="H91" s="309"/>
      <c r="I91" s="309"/>
      <c r="J91" s="248"/>
      <c r="K91" s="308"/>
      <c r="L91" s="419"/>
      <c r="M91" s="420"/>
      <c r="N91" s="245"/>
      <c r="O91" s="417"/>
      <c r="P91" s="418"/>
      <c r="Q91" s="383">
        <f t="shared" si="5"/>
        <v>0</v>
      </c>
      <c r="S91" s="373"/>
    </row>
    <row r="92" spans="1:22" x14ac:dyDescent="0.25">
      <c r="D92" s="374" t="s">
        <v>38</v>
      </c>
      <c r="E92" s="307">
        <v>12332</v>
      </c>
      <c r="F92" s="306">
        <v>11725</v>
      </c>
      <c r="G92" s="306">
        <v>12808</v>
      </c>
      <c r="H92" s="306">
        <v>11124</v>
      </c>
      <c r="I92" s="306">
        <v>12036</v>
      </c>
      <c r="J92" s="248">
        <v>7190</v>
      </c>
      <c r="K92" s="304" t="e">
        <f>SUMIF('[2]2014 Budget'!$A$9:$A$151,C92,'[2]2014 Budget'!$J$9:$J$151)</f>
        <v>#VALUE!</v>
      </c>
      <c r="L92" s="434">
        <v>24723</v>
      </c>
      <c r="M92" s="435">
        <v>13627</v>
      </c>
      <c r="N92" s="245">
        <f>+M92/L92</f>
        <v>0.55118715366258142</v>
      </c>
      <c r="O92" s="417"/>
      <c r="P92" s="418">
        <f>+O92/L92</f>
        <v>0</v>
      </c>
      <c r="Q92" s="383">
        <f t="shared" si="5"/>
        <v>13627</v>
      </c>
      <c r="S92" s="384" t="e">
        <f>M92-K92</f>
        <v>#VALUE!</v>
      </c>
      <c r="T92" s="433" t="e">
        <f>IF(OR(S92=0,K92=0),"",S92/K92)</f>
        <v>#VALUE!</v>
      </c>
    </row>
    <row r="93" spans="1:22" x14ac:dyDescent="0.25">
      <c r="C93" s="356">
        <v>4320001</v>
      </c>
      <c r="D93" s="363" t="s">
        <v>421</v>
      </c>
      <c r="E93" s="249">
        <v>7194</v>
      </c>
      <c r="F93" s="248">
        <v>1107</v>
      </c>
      <c r="G93" s="248">
        <v>2307</v>
      </c>
      <c r="H93" s="248">
        <v>2595</v>
      </c>
      <c r="I93" s="248">
        <v>2274</v>
      </c>
      <c r="J93" s="248">
        <v>2384</v>
      </c>
      <c r="K93" s="254" t="e">
        <f>SUMIF('[2]2014 Budget'!$A$9:$A$151,C93,'[2]2014 Budget'!$J$9:$J$151)</f>
        <v>#VALUE!</v>
      </c>
      <c r="L93" s="419">
        <v>7917</v>
      </c>
      <c r="M93" s="420">
        <v>4364</v>
      </c>
      <c r="N93" s="245">
        <f>+M93/L93</f>
        <v>0.55121889604648222</v>
      </c>
      <c r="O93" s="417"/>
      <c r="P93" s="418">
        <f>+O93/L93</f>
        <v>0</v>
      </c>
      <c r="Q93" s="383">
        <f t="shared" si="5"/>
        <v>4364</v>
      </c>
      <c r="S93" s="384" t="e">
        <f>M93-K93</f>
        <v>#VALUE!</v>
      </c>
      <c r="T93" s="433" t="e">
        <f>IF(OR(S93=0,K93=0),"",S93/K93)</f>
        <v>#VALUE!</v>
      </c>
    </row>
    <row r="94" spans="1:22" x14ac:dyDescent="0.25">
      <c r="C94" s="356">
        <v>4330001</v>
      </c>
      <c r="D94" s="363" t="s">
        <v>422</v>
      </c>
      <c r="E94" s="249">
        <v>0</v>
      </c>
      <c r="F94" s="248"/>
      <c r="G94" s="248"/>
      <c r="H94" s="248">
        <v>0</v>
      </c>
      <c r="I94" s="248">
        <v>0</v>
      </c>
      <c r="J94" s="248"/>
      <c r="K94" s="254" t="e">
        <f>SUMIF('[2]2014 Budget'!$A$9:$A$151,C94,'[2]2014 Budget'!$J$9:$J$151)</f>
        <v>#VALUE!</v>
      </c>
      <c r="L94" s="419"/>
      <c r="M94" s="420"/>
      <c r="N94" s="245"/>
      <c r="O94" s="417"/>
      <c r="P94" s="418"/>
      <c r="Q94" s="383">
        <f t="shared" si="5"/>
        <v>0</v>
      </c>
      <c r="S94" s="384" t="e">
        <f>M94-K94</f>
        <v>#VALUE!</v>
      </c>
      <c r="T94" s="433" t="e">
        <f>IF(OR(S94=0,K94=0),"",S94/K94)</f>
        <v>#VALUE!</v>
      </c>
    </row>
    <row r="95" spans="1:22" s="372" customFormat="1" x14ac:dyDescent="0.25">
      <c r="A95" s="356"/>
      <c r="B95" s="356"/>
      <c r="C95" s="301">
        <v>4310001</v>
      </c>
      <c r="D95" s="363" t="s">
        <v>39</v>
      </c>
      <c r="E95" s="249">
        <v>13437</v>
      </c>
      <c r="F95" s="248">
        <v>20202</v>
      </c>
      <c r="G95" s="248">
        <v>20012</v>
      </c>
      <c r="H95" s="248">
        <v>23092</v>
      </c>
      <c r="I95" s="248">
        <v>26430</v>
      </c>
      <c r="J95" s="248">
        <f>15815+17079</f>
        <v>32894</v>
      </c>
      <c r="K95" s="304" t="e">
        <f>SUMIF('[2]2014 Budget'!$A$9:$A$151,C95,'[2]2014 Budget'!$J$9:$J$151)</f>
        <v>#VALUE!</v>
      </c>
      <c r="L95" s="434">
        <f>34346+32980</f>
        <v>67326</v>
      </c>
      <c r="M95" s="435">
        <f>18931+18178</f>
        <v>37109</v>
      </c>
      <c r="N95" s="245">
        <f>+M95/L95</f>
        <v>0.55118379229421022</v>
      </c>
      <c r="O95" s="417"/>
      <c r="P95" s="418">
        <f>+O95/L95</f>
        <v>0</v>
      </c>
      <c r="Q95" s="383">
        <f t="shared" si="5"/>
        <v>37109</v>
      </c>
      <c r="S95" s="384" t="e">
        <f>M95-K95</f>
        <v>#VALUE!</v>
      </c>
      <c r="T95" s="433" t="e">
        <f>IF(OR(S95=0,K95=0),"",S95/K95)</f>
        <v>#VALUE!</v>
      </c>
      <c r="U95" s="363"/>
      <c r="V95" s="376"/>
    </row>
    <row r="96" spans="1:22" ht="16.5" thickBot="1" x14ac:dyDescent="0.3">
      <c r="C96" s="356">
        <v>4310001</v>
      </c>
      <c r="D96" s="385" t="s">
        <v>40</v>
      </c>
      <c r="E96" s="262">
        <f t="shared" ref="E96:M96" si="12">SUM(E92:E95)</f>
        <v>32963</v>
      </c>
      <c r="F96" s="261">
        <f t="shared" si="12"/>
        <v>33034</v>
      </c>
      <c r="G96" s="261">
        <f t="shared" si="12"/>
        <v>35127</v>
      </c>
      <c r="H96" s="261">
        <f t="shared" si="12"/>
        <v>36811</v>
      </c>
      <c r="I96" s="261">
        <f t="shared" si="12"/>
        <v>40740</v>
      </c>
      <c r="J96" s="261">
        <f>SUM(J92:J95)</f>
        <v>42468</v>
      </c>
      <c r="K96" s="260" t="e">
        <f t="shared" si="12"/>
        <v>#VALUE!</v>
      </c>
      <c r="L96" s="439">
        <f t="shared" si="12"/>
        <v>99966</v>
      </c>
      <c r="M96" s="439">
        <f t="shared" si="12"/>
        <v>55100</v>
      </c>
      <c r="N96" s="429">
        <f>+M96/L96</f>
        <v>0.55118740371726382</v>
      </c>
      <c r="O96" s="438">
        <f>SUM(O92:O95)</f>
        <v>0</v>
      </c>
      <c r="P96" s="431">
        <f>+O96/L96</f>
        <v>0</v>
      </c>
      <c r="Q96" s="383">
        <f t="shared" si="5"/>
        <v>55100</v>
      </c>
      <c r="S96" s="373"/>
    </row>
    <row r="97" spans="1:22" ht="16.5" thickTop="1" x14ac:dyDescent="0.25">
      <c r="E97" s="249"/>
      <c r="F97" s="248"/>
      <c r="G97" s="248"/>
      <c r="H97" s="248"/>
      <c r="I97" s="248"/>
      <c r="J97" s="248"/>
      <c r="K97" s="254"/>
      <c r="L97" s="419"/>
      <c r="M97" s="420"/>
      <c r="N97" s="245"/>
      <c r="O97" s="417"/>
      <c r="P97" s="418"/>
      <c r="Q97" s="383">
        <f t="shared" ref="Q97:Q131" si="13">M97-O97</f>
        <v>0</v>
      </c>
      <c r="S97" s="373"/>
    </row>
    <row r="98" spans="1:22" x14ac:dyDescent="0.25">
      <c r="D98" s="372" t="s">
        <v>423</v>
      </c>
      <c r="E98" s="252"/>
      <c r="F98" s="251"/>
      <c r="G98" s="251"/>
      <c r="H98" s="251"/>
      <c r="I98" s="251"/>
      <c r="J98" s="248"/>
      <c r="K98" s="279"/>
      <c r="L98" s="419"/>
      <c r="M98" s="420"/>
      <c r="N98" s="245"/>
      <c r="O98" s="417"/>
      <c r="P98" s="418"/>
      <c r="Q98" s="383">
        <f t="shared" si="13"/>
        <v>0</v>
      </c>
      <c r="S98" s="373"/>
    </row>
    <row r="99" spans="1:22" x14ac:dyDescent="0.25">
      <c r="D99" s="363" t="s">
        <v>424</v>
      </c>
      <c r="E99" s="249">
        <v>83</v>
      </c>
      <c r="F99" s="248"/>
      <c r="G99" s="248">
        <v>0</v>
      </c>
      <c r="H99" s="248">
        <v>0</v>
      </c>
      <c r="I99" s="248">
        <v>0</v>
      </c>
      <c r="J99" s="248"/>
      <c r="K99" s="254" t="e">
        <f>SUMIF('[2]2014 Budget'!$A$9:$A$151,C99,'[2]2014 Budget'!$J$9:$J$151)</f>
        <v>#VALUE!</v>
      </c>
      <c r="L99" s="419">
        <v>902</v>
      </c>
      <c r="M99" s="419">
        <v>0</v>
      </c>
      <c r="N99" s="245">
        <f t="shared" ref="N99:N108" si="14">+M99/L99</f>
        <v>0</v>
      </c>
      <c r="O99" s="417"/>
      <c r="P99" s="418">
        <f t="shared" ref="P99:P108" si="15">+O99/L99</f>
        <v>0</v>
      </c>
      <c r="Q99" s="383">
        <f t="shared" si="13"/>
        <v>0</v>
      </c>
      <c r="S99" s="384" t="e">
        <f t="shared" ref="S99:S107" si="16">M99-K99</f>
        <v>#VALUE!</v>
      </c>
      <c r="T99" s="433" t="e">
        <f t="shared" ref="T99:T107" si="17">IF(OR(S99=0,K99=0),"",S99/K99)</f>
        <v>#VALUE!</v>
      </c>
    </row>
    <row r="100" spans="1:22" x14ac:dyDescent="0.25">
      <c r="C100" s="356">
        <v>4540003</v>
      </c>
      <c r="D100" s="374" t="s">
        <v>425</v>
      </c>
      <c r="E100" s="250">
        <v>2431</v>
      </c>
      <c r="F100" s="248">
        <v>6376</v>
      </c>
      <c r="G100" s="248">
        <v>6822</v>
      </c>
      <c r="H100" s="248">
        <v>9733</v>
      </c>
      <c r="I100" s="248">
        <v>15419</v>
      </c>
      <c r="J100" s="248">
        <v>21864</v>
      </c>
      <c r="K100" s="304" t="e">
        <f>SUMIF('[2]2014 Budget'!$A$9:$A$151,C100,'[2]2014 Budget'!$J$9:$J$151)</f>
        <v>#VALUE!</v>
      </c>
      <c r="L100" s="434">
        <v>43309</v>
      </c>
      <c r="M100" s="435">
        <v>23870</v>
      </c>
      <c r="N100" s="303">
        <f t="shared" si="14"/>
        <v>0.55115564894132862</v>
      </c>
      <c r="O100" s="417"/>
      <c r="P100" s="418">
        <f t="shared" si="15"/>
        <v>0</v>
      </c>
      <c r="Q100" s="383">
        <f t="shared" si="13"/>
        <v>23870</v>
      </c>
      <c r="S100" s="384" t="e">
        <f t="shared" si="16"/>
        <v>#VALUE!</v>
      </c>
      <c r="T100" s="433" t="e">
        <f t="shared" si="17"/>
        <v>#VALUE!</v>
      </c>
    </row>
    <row r="101" spans="1:22" x14ac:dyDescent="0.25">
      <c r="D101" s="374" t="s">
        <v>500</v>
      </c>
      <c r="E101" s="250"/>
      <c r="F101" s="248"/>
      <c r="G101" s="248"/>
      <c r="H101" s="248"/>
      <c r="I101" s="248"/>
      <c r="J101" s="248">
        <v>0</v>
      </c>
      <c r="K101" s="254" t="e">
        <f>SUMIF('[2]2014 Budget'!$A$9:$A$151,C101,'[2]2014 Budget'!$J$9:$J$151)</f>
        <v>#VALUE!</v>
      </c>
      <c r="L101" s="419"/>
      <c r="M101" s="420"/>
      <c r="N101" s="303"/>
      <c r="O101" s="417"/>
      <c r="P101" s="418"/>
      <c r="Q101" s="383"/>
      <c r="S101" s="384" t="e">
        <f t="shared" si="16"/>
        <v>#VALUE!</v>
      </c>
      <c r="T101" s="433" t="e">
        <f t="shared" si="17"/>
        <v>#VALUE!</v>
      </c>
    </row>
    <row r="102" spans="1:22" x14ac:dyDescent="0.25">
      <c r="C102" s="305">
        <v>4540004</v>
      </c>
      <c r="D102" s="374" t="s">
        <v>42</v>
      </c>
      <c r="E102" s="250">
        <v>8612</v>
      </c>
      <c r="F102" s="248">
        <v>15289</v>
      </c>
      <c r="G102" s="248">
        <v>12522</v>
      </c>
      <c r="H102" s="248">
        <v>13497</v>
      </c>
      <c r="I102" s="248">
        <v>13876</v>
      </c>
      <c r="J102" s="248">
        <v>14356</v>
      </c>
      <c r="K102" s="254" t="e">
        <f>SUMIF('[2]2014 Budget'!$A$9:$A$151,C102,'[2]2014 Budget'!$J$9:$J$151)</f>
        <v>#VALUE!</v>
      </c>
      <c r="L102" s="419">
        <v>24964</v>
      </c>
      <c r="M102" s="420">
        <v>14257</v>
      </c>
      <c r="N102" s="303">
        <f t="shared" si="14"/>
        <v>0.57110238743791064</v>
      </c>
      <c r="O102" s="417"/>
      <c r="P102" s="418">
        <f t="shared" si="15"/>
        <v>0</v>
      </c>
      <c r="Q102" s="383">
        <f t="shared" si="13"/>
        <v>14257</v>
      </c>
      <c r="S102" s="384" t="e">
        <f t="shared" si="16"/>
        <v>#VALUE!</v>
      </c>
      <c r="T102" s="433" t="e">
        <f t="shared" si="17"/>
        <v>#VALUE!</v>
      </c>
    </row>
    <row r="103" spans="1:22" x14ac:dyDescent="0.25">
      <c r="B103" s="356">
        <v>4540004</v>
      </c>
      <c r="C103" s="305">
        <v>4542000</v>
      </c>
      <c r="D103" s="374" t="s">
        <v>426</v>
      </c>
      <c r="E103" s="250">
        <v>17095</v>
      </c>
      <c r="F103" s="248">
        <v>25108</v>
      </c>
      <c r="G103" s="248">
        <v>25229</v>
      </c>
      <c r="H103" s="248">
        <v>21776</v>
      </c>
      <c r="I103" s="248">
        <v>24969</v>
      </c>
      <c r="J103" s="248">
        <v>0</v>
      </c>
      <c r="K103" s="254" t="e">
        <f>SUMIF('[2]2014 Budget'!$A$9:$A$151,C103,'[2]2014 Budget'!$J$9:$J$151)</f>
        <v>#VALUE!</v>
      </c>
      <c r="L103" s="419"/>
      <c r="M103" s="420"/>
      <c r="N103" s="303"/>
      <c r="O103" s="417"/>
      <c r="P103" s="418"/>
      <c r="Q103" s="383">
        <f t="shared" si="13"/>
        <v>0</v>
      </c>
      <c r="S103" s="384" t="e">
        <f t="shared" si="16"/>
        <v>#VALUE!</v>
      </c>
      <c r="T103" s="433" t="e">
        <f t="shared" si="17"/>
        <v>#VALUE!</v>
      </c>
    </row>
    <row r="104" spans="1:22" x14ac:dyDescent="0.25">
      <c r="C104" s="356">
        <v>4510015</v>
      </c>
      <c r="D104" s="363" t="s">
        <v>41</v>
      </c>
      <c r="E104" s="249">
        <v>0</v>
      </c>
      <c r="F104" s="248"/>
      <c r="G104" s="248">
        <v>0</v>
      </c>
      <c r="H104" s="248">
        <v>0</v>
      </c>
      <c r="I104" s="248">
        <v>0</v>
      </c>
      <c r="J104" s="248">
        <v>0</v>
      </c>
      <c r="K104" s="254" t="e">
        <f>SUMIF('[2]2014 Budget'!$A$9:$A$151,C104,'[2]2014 Budget'!$J$9:$J$151)</f>
        <v>#VALUE!</v>
      </c>
      <c r="L104" s="419">
        <v>0</v>
      </c>
      <c r="M104" s="420">
        <v>0</v>
      </c>
      <c r="N104" s="245"/>
      <c r="O104" s="417"/>
      <c r="P104" s="418"/>
      <c r="Q104" s="383">
        <f t="shared" si="13"/>
        <v>0</v>
      </c>
      <c r="S104" s="384" t="e">
        <f t="shared" si="16"/>
        <v>#VALUE!</v>
      </c>
      <c r="T104" s="433" t="e">
        <f t="shared" si="17"/>
        <v>#VALUE!</v>
      </c>
    </row>
    <row r="105" spans="1:22" x14ac:dyDescent="0.25">
      <c r="D105" s="363" t="s">
        <v>501</v>
      </c>
      <c r="E105" s="249"/>
      <c r="F105" s="248"/>
      <c r="G105" s="248"/>
      <c r="H105" s="248"/>
      <c r="I105" s="248"/>
      <c r="J105" s="248">
        <v>0</v>
      </c>
      <c r="K105" s="254" t="e">
        <f>SUMIF('[2]2014 Budget'!$A$9:$A$151,C105,'[2]2014 Budget'!$J$9:$J$151)</f>
        <v>#VALUE!</v>
      </c>
      <c r="L105" s="419">
        <v>6538</v>
      </c>
      <c r="M105" s="420">
        <v>0</v>
      </c>
      <c r="N105" s="245">
        <f t="shared" si="14"/>
        <v>0</v>
      </c>
      <c r="O105" s="417"/>
      <c r="P105" s="418">
        <f t="shared" si="15"/>
        <v>0</v>
      </c>
      <c r="Q105" s="383">
        <f t="shared" si="13"/>
        <v>0</v>
      </c>
      <c r="S105" s="384" t="e">
        <f t="shared" si="16"/>
        <v>#VALUE!</v>
      </c>
      <c r="T105" s="433" t="e">
        <f t="shared" si="17"/>
        <v>#VALUE!</v>
      </c>
    </row>
    <row r="106" spans="1:22" x14ac:dyDescent="0.25">
      <c r="C106" s="301">
        <v>4540005</v>
      </c>
      <c r="D106" s="363" t="s">
        <v>44</v>
      </c>
      <c r="E106" s="249"/>
      <c r="F106" s="248"/>
      <c r="G106" s="248">
        <v>0</v>
      </c>
      <c r="H106" s="248">
        <v>0</v>
      </c>
      <c r="I106" s="248">
        <v>0</v>
      </c>
      <c r="J106" s="248">
        <v>15510</v>
      </c>
      <c r="K106" s="440" t="e">
        <f>SUMIF('[2]2014 Budget'!$A$9:$A$151,C106,'[2]2014 Budget'!$J$9:$J$151)</f>
        <v>#VALUE!</v>
      </c>
      <c r="L106" s="419">
        <v>28293</v>
      </c>
      <c r="M106" s="420">
        <v>15595</v>
      </c>
      <c r="N106" s="245">
        <f t="shared" si="14"/>
        <v>0.55119640900576117</v>
      </c>
      <c r="O106" s="417"/>
      <c r="P106" s="418">
        <f t="shared" si="15"/>
        <v>0</v>
      </c>
      <c r="Q106" s="383">
        <f t="shared" si="13"/>
        <v>15595</v>
      </c>
      <c r="S106" s="384" t="e">
        <f t="shared" si="16"/>
        <v>#VALUE!</v>
      </c>
      <c r="T106" s="433" t="e">
        <f t="shared" si="17"/>
        <v>#VALUE!</v>
      </c>
    </row>
    <row r="107" spans="1:22" s="372" customFormat="1" x14ac:dyDescent="0.25">
      <c r="A107" s="356"/>
      <c r="B107" s="356"/>
      <c r="C107" s="301">
        <v>4540101.01</v>
      </c>
      <c r="D107" s="363" t="s">
        <v>427</v>
      </c>
      <c r="E107" s="249">
        <v>2719</v>
      </c>
      <c r="F107" s="248">
        <v>3378</v>
      </c>
      <c r="G107" s="248">
        <v>3346</v>
      </c>
      <c r="H107" s="248">
        <v>4199</v>
      </c>
      <c r="I107" s="248">
        <v>5685</v>
      </c>
      <c r="J107" s="248">
        <v>6491</v>
      </c>
      <c r="K107" s="254" t="e">
        <f>SUMIF('[2]2014 Budget'!$A$9:$A$151,C107,'[2]2014 Budget'!$J$9:$J$151)</f>
        <v>#VALUE!</v>
      </c>
      <c r="L107" s="419">
        <v>11491</v>
      </c>
      <c r="M107" s="420">
        <v>6334</v>
      </c>
      <c r="N107" s="245">
        <f t="shared" si="14"/>
        <v>0.55121399356017753</v>
      </c>
      <c r="O107" s="417"/>
      <c r="P107" s="418">
        <f t="shared" si="15"/>
        <v>0</v>
      </c>
      <c r="Q107" s="383">
        <f t="shared" si="13"/>
        <v>6334</v>
      </c>
      <c r="S107" s="384" t="e">
        <f t="shared" si="16"/>
        <v>#VALUE!</v>
      </c>
      <c r="T107" s="433" t="e">
        <f t="shared" si="17"/>
        <v>#VALUE!</v>
      </c>
      <c r="U107" s="363"/>
      <c r="V107" s="376"/>
    </row>
    <row r="108" spans="1:22" ht="16.5" thickBot="1" x14ac:dyDescent="0.3">
      <c r="C108" s="356">
        <v>4540101.01</v>
      </c>
      <c r="D108" s="385" t="s">
        <v>428</v>
      </c>
      <c r="E108" s="300">
        <f t="shared" ref="E108:M108" si="18">SUM(E99:E107)</f>
        <v>30940</v>
      </c>
      <c r="F108" s="299">
        <f t="shared" si="18"/>
        <v>50151</v>
      </c>
      <c r="G108" s="299">
        <f t="shared" si="18"/>
        <v>47919</v>
      </c>
      <c r="H108" s="299">
        <f t="shared" si="18"/>
        <v>49205</v>
      </c>
      <c r="I108" s="299">
        <f t="shared" si="18"/>
        <v>59949</v>
      </c>
      <c r="J108" s="261">
        <f>SUM(J99:J107)</f>
        <v>58221</v>
      </c>
      <c r="K108" s="298" t="e">
        <f t="shared" si="18"/>
        <v>#VALUE!</v>
      </c>
      <c r="L108" s="428">
        <f t="shared" si="18"/>
        <v>115497</v>
      </c>
      <c r="M108" s="428">
        <f t="shared" si="18"/>
        <v>60056</v>
      </c>
      <c r="N108" s="429">
        <f t="shared" si="14"/>
        <v>0.51997887391014486</v>
      </c>
      <c r="O108" s="438">
        <f>SUM(O99:O107)</f>
        <v>0</v>
      </c>
      <c r="P108" s="431">
        <f t="shared" si="15"/>
        <v>0</v>
      </c>
      <c r="Q108" s="383">
        <f t="shared" si="13"/>
        <v>60056</v>
      </c>
      <c r="S108" s="373"/>
    </row>
    <row r="109" spans="1:22" s="374" customFormat="1" ht="16.5" thickTop="1" x14ac:dyDescent="0.25">
      <c r="A109" s="356"/>
      <c r="B109" s="356"/>
      <c r="C109" s="356"/>
      <c r="D109" s="363"/>
      <c r="E109" s="249"/>
      <c r="F109" s="248"/>
      <c r="G109" s="248"/>
      <c r="H109" s="248"/>
      <c r="I109" s="248"/>
      <c r="J109" s="248"/>
      <c r="K109" s="254"/>
      <c r="L109" s="419"/>
      <c r="M109" s="420"/>
      <c r="N109" s="245"/>
      <c r="O109" s="441"/>
      <c r="P109" s="418"/>
      <c r="Q109" s="383">
        <f t="shared" si="13"/>
        <v>0</v>
      </c>
      <c r="S109" s="373"/>
      <c r="T109" s="413"/>
      <c r="U109" s="363"/>
      <c r="V109" s="387"/>
    </row>
    <row r="110" spans="1:22" ht="16.5" thickBot="1" x14ac:dyDescent="0.3">
      <c r="D110" s="388" t="s">
        <v>286</v>
      </c>
      <c r="E110" s="262">
        <f t="shared" ref="E110:M110" si="19">+E56+E89+E96+E108</f>
        <v>260682</v>
      </c>
      <c r="F110" s="261">
        <f t="shared" si="19"/>
        <v>394264.57261599996</v>
      </c>
      <c r="G110" s="261">
        <f t="shared" si="19"/>
        <v>373168</v>
      </c>
      <c r="H110" s="261">
        <f t="shared" si="19"/>
        <v>417548.58240000001</v>
      </c>
      <c r="I110" s="261">
        <f t="shared" si="19"/>
        <v>450490.21499999997</v>
      </c>
      <c r="J110" s="261">
        <f t="shared" si="19"/>
        <v>500749</v>
      </c>
      <c r="K110" s="260" t="e">
        <f t="shared" si="19"/>
        <v>#VALUE!</v>
      </c>
      <c r="L110" s="439">
        <f t="shared" si="19"/>
        <v>929151</v>
      </c>
      <c r="M110" s="439">
        <f t="shared" si="19"/>
        <v>503225</v>
      </c>
      <c r="N110" s="429">
        <f>+N56+N89+N96+N108</f>
        <v>2.1589926042609435</v>
      </c>
      <c r="O110" s="430">
        <f>+O56+O89+O96+O108</f>
        <v>0</v>
      </c>
      <c r="P110" s="431">
        <f>+O110/L110</f>
        <v>0</v>
      </c>
      <c r="Q110" s="383"/>
      <c r="S110" s="373"/>
    </row>
    <row r="111" spans="1:22" ht="16.5" thickTop="1" x14ac:dyDescent="0.25">
      <c r="D111" s="442" t="s">
        <v>429</v>
      </c>
      <c r="E111" s="443"/>
      <c r="F111" s="444"/>
      <c r="G111" s="444"/>
      <c r="H111" s="444"/>
      <c r="I111" s="444"/>
      <c r="J111" s="445"/>
      <c r="K111" s="446"/>
      <c r="L111" s="419"/>
      <c r="M111" s="420"/>
      <c r="N111" s="245"/>
      <c r="O111" s="441"/>
      <c r="P111" s="418"/>
      <c r="Q111" s="383">
        <f t="shared" si="13"/>
        <v>0</v>
      </c>
      <c r="S111" s="373"/>
    </row>
    <row r="112" spans="1:22" ht="16.5" thickBot="1" x14ac:dyDescent="0.3">
      <c r="D112" s="447" t="s">
        <v>430</v>
      </c>
      <c r="E112" s="448">
        <f t="shared" ref="E112:M112" si="20">+E23-E110</f>
        <v>-19737</v>
      </c>
      <c r="F112" s="449">
        <f t="shared" si="20"/>
        <v>-86616.572615999961</v>
      </c>
      <c r="G112" s="449">
        <f t="shared" si="20"/>
        <v>-58701</v>
      </c>
      <c r="H112" s="449">
        <f t="shared" si="20"/>
        <v>-94459.582400000014</v>
      </c>
      <c r="I112" s="449">
        <f t="shared" si="20"/>
        <v>-121216.01499999996</v>
      </c>
      <c r="J112" s="450">
        <f t="shared" si="20"/>
        <v>-165585</v>
      </c>
      <c r="K112" s="451" t="e">
        <f t="shared" si="20"/>
        <v>#VALUE!</v>
      </c>
      <c r="L112" s="452">
        <f t="shared" si="20"/>
        <v>188770</v>
      </c>
      <c r="M112" s="452">
        <f t="shared" si="20"/>
        <v>-157578</v>
      </c>
      <c r="N112" s="280">
        <f>+M112/L112</f>
        <v>-0.83476187953594316</v>
      </c>
      <c r="O112" s="453">
        <f>+O23-O110</f>
        <v>0</v>
      </c>
      <c r="P112" s="454">
        <f>+O112/L112</f>
        <v>0</v>
      </c>
      <c r="Q112" s="383"/>
      <c r="S112" s="373"/>
    </row>
    <row r="113" spans="1:22" ht="16.5" thickTop="1" x14ac:dyDescent="0.25">
      <c r="E113" s="249"/>
      <c r="F113" s="248"/>
      <c r="G113" s="248"/>
      <c r="H113" s="248"/>
      <c r="I113" s="248"/>
      <c r="J113" s="248"/>
      <c r="K113" s="254"/>
      <c r="L113" s="419"/>
      <c r="M113" s="420"/>
      <c r="N113" s="245"/>
      <c r="O113" s="417"/>
      <c r="P113" s="418"/>
      <c r="Q113" s="383">
        <f t="shared" si="13"/>
        <v>0</v>
      </c>
      <c r="S113" s="373"/>
    </row>
    <row r="114" spans="1:22" x14ac:dyDescent="0.25">
      <c r="D114" s="372" t="s">
        <v>431</v>
      </c>
      <c r="E114" s="249"/>
      <c r="F114" s="248"/>
      <c r="G114" s="248"/>
      <c r="H114" s="248"/>
      <c r="I114" s="248"/>
      <c r="J114" s="248"/>
      <c r="K114" s="254"/>
      <c r="L114" s="419"/>
      <c r="M114" s="420"/>
      <c r="N114" s="245"/>
      <c r="O114" s="417"/>
      <c r="P114" s="418"/>
      <c r="Q114" s="383">
        <f t="shared" si="13"/>
        <v>0</v>
      </c>
      <c r="S114" s="373"/>
    </row>
    <row r="115" spans="1:22" x14ac:dyDescent="0.25">
      <c r="D115" s="363" t="s">
        <v>432</v>
      </c>
      <c r="E115" s="249">
        <v>0</v>
      </c>
      <c r="F115" s="248"/>
      <c r="G115" s="248"/>
      <c r="H115" s="248">
        <v>0</v>
      </c>
      <c r="I115" s="248"/>
      <c r="J115" s="248"/>
      <c r="K115" s="254" t="e">
        <f>SUMIF('[2]2014 Budget'!$A$9:$A$151,C115,'[2]2014 Budget'!$J$9:$J$151)</f>
        <v>#VALUE!</v>
      </c>
      <c r="L115" s="419"/>
      <c r="M115" s="420"/>
      <c r="N115" s="245"/>
      <c r="O115" s="417"/>
      <c r="P115" s="418"/>
      <c r="Q115" s="383">
        <f t="shared" si="13"/>
        <v>0</v>
      </c>
      <c r="S115" s="384" t="e">
        <f t="shared" ref="S115:S122" si="21">M115-K115</f>
        <v>#VALUE!</v>
      </c>
      <c r="T115" s="433" t="e">
        <f t="shared" ref="T115:T122" si="22">IF(OR(S115=0,K115=0),"",S115/K115)</f>
        <v>#VALUE!</v>
      </c>
    </row>
    <row r="116" spans="1:22" x14ac:dyDescent="0.25">
      <c r="C116" s="356">
        <v>4192002</v>
      </c>
      <c r="D116" s="363" t="s">
        <v>433</v>
      </c>
      <c r="E116" s="249">
        <v>0</v>
      </c>
      <c r="F116" s="248"/>
      <c r="G116" s="248"/>
      <c r="H116" s="248">
        <v>0</v>
      </c>
      <c r="I116" s="248"/>
      <c r="J116" s="248"/>
      <c r="K116" s="254" t="e">
        <f>SUMIF('[2]2014 Budget'!$A$9:$A$151,C116,'[2]2014 Budget'!$J$9:$J$151)</f>
        <v>#VALUE!</v>
      </c>
      <c r="L116" s="419"/>
      <c r="M116" s="420"/>
      <c r="N116" s="245"/>
      <c r="O116" s="417"/>
      <c r="P116" s="418"/>
      <c r="Q116" s="383">
        <f t="shared" si="13"/>
        <v>0</v>
      </c>
      <c r="S116" s="384" t="e">
        <f t="shared" si="21"/>
        <v>#VALUE!</v>
      </c>
      <c r="T116" s="433" t="e">
        <f t="shared" si="22"/>
        <v>#VALUE!</v>
      </c>
    </row>
    <row r="117" spans="1:22" x14ac:dyDescent="0.25">
      <c r="C117" s="356">
        <v>4580001</v>
      </c>
      <c r="D117" s="363" t="s">
        <v>434</v>
      </c>
      <c r="E117" s="249">
        <v>0</v>
      </c>
      <c r="F117" s="248"/>
      <c r="G117" s="248"/>
      <c r="H117" s="248">
        <v>0</v>
      </c>
      <c r="I117" s="248"/>
      <c r="J117" s="248"/>
      <c r="K117" s="254" t="e">
        <f>SUMIF('[2]2014 Budget'!$A$9:$A$151,C117,'[2]2014 Budget'!$J$9:$J$151)</f>
        <v>#VALUE!</v>
      </c>
      <c r="L117" s="419"/>
      <c r="M117" s="420"/>
      <c r="N117" s="245"/>
      <c r="O117" s="417"/>
      <c r="P117" s="418"/>
      <c r="Q117" s="383">
        <f t="shared" si="13"/>
        <v>0</v>
      </c>
      <c r="S117" s="384" t="e">
        <f t="shared" si="21"/>
        <v>#VALUE!</v>
      </c>
      <c r="T117" s="433" t="e">
        <f t="shared" si="22"/>
        <v>#VALUE!</v>
      </c>
    </row>
    <row r="118" spans="1:22" x14ac:dyDescent="0.25">
      <c r="C118" s="356">
        <v>4580002</v>
      </c>
      <c r="D118" s="363" t="s">
        <v>435</v>
      </c>
      <c r="E118" s="249">
        <v>0</v>
      </c>
      <c r="F118" s="248"/>
      <c r="G118" s="248"/>
      <c r="H118" s="248">
        <v>0</v>
      </c>
      <c r="I118" s="248"/>
      <c r="J118" s="248"/>
      <c r="K118" s="254" t="e">
        <f>SUMIF('[2]2014 Budget'!$A$9:$A$151,C118,'[2]2014 Budget'!$J$9:$J$151)</f>
        <v>#VALUE!</v>
      </c>
      <c r="L118" s="419"/>
      <c r="M118" s="420"/>
      <c r="N118" s="245"/>
      <c r="O118" s="417"/>
      <c r="P118" s="418"/>
      <c r="Q118" s="383">
        <f t="shared" si="13"/>
        <v>0</v>
      </c>
      <c r="S118" s="384" t="e">
        <f t="shared" si="21"/>
        <v>#VALUE!</v>
      </c>
      <c r="T118" s="433" t="e">
        <f t="shared" si="22"/>
        <v>#VALUE!</v>
      </c>
    </row>
    <row r="119" spans="1:22" x14ac:dyDescent="0.25">
      <c r="D119" s="363" t="s">
        <v>436</v>
      </c>
      <c r="E119" s="249">
        <v>0</v>
      </c>
      <c r="F119" s="248"/>
      <c r="G119" s="248"/>
      <c r="H119" s="248">
        <v>0</v>
      </c>
      <c r="I119" s="248"/>
      <c r="J119" s="248"/>
      <c r="K119" s="254" t="e">
        <f>SUMIF('[2]2014 Budget'!$A$9:$A$151,C119,'[2]2014 Budget'!$J$9:$J$151)</f>
        <v>#VALUE!</v>
      </c>
      <c r="L119" s="419"/>
      <c r="M119" s="420"/>
      <c r="N119" s="245"/>
      <c r="O119" s="417"/>
      <c r="P119" s="418"/>
      <c r="Q119" s="383">
        <f t="shared" si="13"/>
        <v>0</v>
      </c>
      <c r="S119" s="384" t="e">
        <f t="shared" si="21"/>
        <v>#VALUE!</v>
      </c>
      <c r="T119" s="433" t="e">
        <f t="shared" si="22"/>
        <v>#VALUE!</v>
      </c>
    </row>
    <row r="120" spans="1:22" x14ac:dyDescent="0.25">
      <c r="D120" s="363" t="s">
        <v>437</v>
      </c>
      <c r="E120" s="249">
        <v>0</v>
      </c>
      <c r="F120" s="248"/>
      <c r="G120" s="248"/>
      <c r="H120" s="248">
        <v>0</v>
      </c>
      <c r="I120" s="248"/>
      <c r="J120" s="248"/>
      <c r="K120" s="254" t="e">
        <f>SUMIF('[2]2014 Budget'!$A$9:$A$151,C120,'[2]2014 Budget'!$J$9:$J$151)</f>
        <v>#VALUE!</v>
      </c>
      <c r="L120" s="419"/>
      <c r="M120" s="420"/>
      <c r="N120" s="245"/>
      <c r="O120" s="417"/>
      <c r="P120" s="418"/>
      <c r="Q120" s="383">
        <f t="shared" si="13"/>
        <v>0</v>
      </c>
      <c r="S120" s="384" t="e">
        <f t="shared" si="21"/>
        <v>#VALUE!</v>
      </c>
      <c r="T120" s="433" t="e">
        <f t="shared" si="22"/>
        <v>#VALUE!</v>
      </c>
    </row>
    <row r="121" spans="1:22" x14ac:dyDescent="0.25">
      <c r="D121" s="374" t="s">
        <v>438</v>
      </c>
      <c r="E121" s="249">
        <v>3500</v>
      </c>
      <c r="F121" s="248">
        <v>21000</v>
      </c>
      <c r="G121" s="248">
        <v>21000</v>
      </c>
      <c r="H121" s="248">
        <v>21000</v>
      </c>
      <c r="I121" s="248">
        <v>21000</v>
      </c>
      <c r="J121" s="248">
        <v>21000</v>
      </c>
      <c r="K121" s="254" t="e">
        <f>SUMIF('[2]2014 Budget'!$A$9:$A$151,C121,'[2]2014 Budget'!$J$9:$J$151)</f>
        <v>#VALUE!</v>
      </c>
      <c r="L121" s="419"/>
      <c r="M121" s="420"/>
      <c r="N121" s="245"/>
      <c r="O121" s="417"/>
      <c r="P121" s="418"/>
      <c r="Q121" s="383">
        <f t="shared" si="13"/>
        <v>0</v>
      </c>
      <c r="S121" s="384"/>
      <c r="T121" s="433" t="e">
        <f t="shared" si="22"/>
        <v>#VALUE!</v>
      </c>
    </row>
    <row r="122" spans="1:22" x14ac:dyDescent="0.25">
      <c r="D122" s="363" t="s">
        <v>439</v>
      </c>
      <c r="E122" s="249">
        <v>0</v>
      </c>
      <c r="F122" s="248"/>
      <c r="G122" s="248"/>
      <c r="H122" s="248">
        <v>0</v>
      </c>
      <c r="I122" s="248"/>
      <c r="J122" s="248"/>
      <c r="K122" s="254" t="e">
        <f>SUMIF('[2]2014 Budget'!$A$9:$A$151,C122,'[2]2014 Budget'!$J$9:$J$151)</f>
        <v>#VALUE!</v>
      </c>
      <c r="L122" s="419"/>
      <c r="M122" s="420"/>
      <c r="N122" s="245"/>
      <c r="O122" s="417"/>
      <c r="P122" s="418"/>
      <c r="Q122" s="383">
        <f t="shared" si="13"/>
        <v>0</v>
      </c>
      <c r="S122" s="384" t="e">
        <f t="shared" si="21"/>
        <v>#VALUE!</v>
      </c>
      <c r="T122" s="433" t="e">
        <f t="shared" si="22"/>
        <v>#VALUE!</v>
      </c>
    </row>
    <row r="123" spans="1:22" ht="16.5" thickBot="1" x14ac:dyDescent="0.3">
      <c r="D123" s="385" t="s">
        <v>440</v>
      </c>
      <c r="E123" s="287">
        <f t="shared" ref="E123:M123" si="23">SUM(E115:E122)</f>
        <v>3500</v>
      </c>
      <c r="F123" s="286">
        <f t="shared" si="23"/>
        <v>21000</v>
      </c>
      <c r="G123" s="286">
        <f t="shared" si="23"/>
        <v>21000</v>
      </c>
      <c r="H123" s="286">
        <f t="shared" si="23"/>
        <v>21000</v>
      </c>
      <c r="I123" s="286">
        <f>SUM(I115:I122)</f>
        <v>21000</v>
      </c>
      <c r="J123" s="286">
        <f>SUM(J115:J122)</f>
        <v>21000</v>
      </c>
      <c r="K123" s="285" t="e">
        <f t="shared" si="23"/>
        <v>#VALUE!</v>
      </c>
      <c r="L123" s="455">
        <f t="shared" si="23"/>
        <v>0</v>
      </c>
      <c r="M123" s="455">
        <f t="shared" si="23"/>
        <v>0</v>
      </c>
      <c r="N123" s="270"/>
      <c r="O123" s="456">
        <f>SUM(O115:O122)</f>
        <v>0</v>
      </c>
      <c r="P123" s="457"/>
      <c r="Q123" s="383">
        <f t="shared" si="13"/>
        <v>0</v>
      </c>
      <c r="S123" s="373"/>
    </row>
    <row r="124" spans="1:22" ht="16.5" thickTop="1" x14ac:dyDescent="0.25">
      <c r="E124" s="249"/>
      <c r="F124" s="248"/>
      <c r="G124" s="248"/>
      <c r="H124" s="248"/>
      <c r="I124" s="248"/>
      <c r="J124" s="248"/>
      <c r="K124" s="254"/>
      <c r="L124" s="419"/>
      <c r="M124" s="420"/>
      <c r="N124" s="245"/>
      <c r="O124" s="441"/>
      <c r="P124" s="418"/>
      <c r="Q124" s="383">
        <f t="shared" si="13"/>
        <v>0</v>
      </c>
      <c r="S124" s="373"/>
    </row>
    <row r="125" spans="1:22" s="372" customFormat="1" ht="16.5" thickBot="1" x14ac:dyDescent="0.3">
      <c r="A125" s="356"/>
      <c r="B125" s="356"/>
      <c r="C125" s="356"/>
      <c r="D125" s="389" t="s">
        <v>441</v>
      </c>
      <c r="E125" s="262">
        <f t="shared" ref="E125:M125" si="24">+E112-E123</f>
        <v>-23237</v>
      </c>
      <c r="F125" s="261">
        <f t="shared" si="24"/>
        <v>-107616.57261599996</v>
      </c>
      <c r="G125" s="261">
        <f t="shared" si="24"/>
        <v>-79701</v>
      </c>
      <c r="H125" s="261">
        <f t="shared" si="24"/>
        <v>-115459.58240000001</v>
      </c>
      <c r="I125" s="261">
        <f>+I112-I123</f>
        <v>-142216.01499999996</v>
      </c>
      <c r="J125" s="450">
        <f>+J112-J123</f>
        <v>-186585</v>
      </c>
      <c r="K125" s="458" t="e">
        <f t="shared" si="24"/>
        <v>#VALUE!</v>
      </c>
      <c r="L125" s="459">
        <f t="shared" si="24"/>
        <v>188770</v>
      </c>
      <c r="M125" s="459">
        <f t="shared" si="24"/>
        <v>-157578</v>
      </c>
      <c r="N125" s="280">
        <f>+M125/L125</f>
        <v>-0.83476187953594316</v>
      </c>
      <c r="O125" s="453">
        <f>+O112-O123</f>
        <v>0</v>
      </c>
      <c r="P125" s="454">
        <f>+O125/L125</f>
        <v>0</v>
      </c>
      <c r="Q125" s="383"/>
      <c r="S125" s="373"/>
      <c r="T125" s="413"/>
      <c r="U125" s="363"/>
      <c r="V125" s="376"/>
    </row>
    <row r="126" spans="1:22" ht="16.5" thickTop="1" x14ac:dyDescent="0.25">
      <c r="A126" s="363"/>
      <c r="B126" s="363"/>
      <c r="C126" s="363"/>
      <c r="E126" s="249"/>
      <c r="F126" s="248"/>
      <c r="G126" s="248"/>
      <c r="H126" s="248"/>
      <c r="I126" s="248"/>
      <c r="J126" s="248"/>
      <c r="K126" s="254"/>
      <c r="L126" s="419"/>
      <c r="M126" s="420"/>
      <c r="N126" s="245"/>
      <c r="O126" s="417"/>
      <c r="P126" s="418"/>
      <c r="Q126" s="383">
        <f t="shared" si="13"/>
        <v>0</v>
      </c>
      <c r="S126" s="373"/>
    </row>
    <row r="127" spans="1:22" x14ac:dyDescent="0.25">
      <c r="D127" s="372" t="s">
        <v>442</v>
      </c>
      <c r="E127" s="252"/>
      <c r="F127" s="251"/>
      <c r="G127" s="251"/>
      <c r="H127" s="251"/>
      <c r="I127" s="251"/>
      <c r="J127" s="248"/>
      <c r="K127" s="279"/>
      <c r="L127" s="419"/>
      <c r="M127" s="420"/>
      <c r="N127" s="245"/>
      <c r="O127" s="417"/>
      <c r="P127" s="418"/>
      <c r="Q127" s="383">
        <f t="shared" si="13"/>
        <v>0</v>
      </c>
      <c r="S127" s="373"/>
    </row>
    <row r="128" spans="1:22" x14ac:dyDescent="0.25">
      <c r="D128" s="363" t="s">
        <v>443</v>
      </c>
      <c r="E128" s="249">
        <v>0</v>
      </c>
      <c r="F128" s="248"/>
      <c r="G128" s="248"/>
      <c r="H128" s="248">
        <v>0</v>
      </c>
      <c r="I128" s="248"/>
      <c r="J128" s="248"/>
      <c r="K128" s="254" t="e">
        <f>SUMIF('[2]2014 Budget'!$A$9:$A$151,C128,'[2]2014 Budget'!$J$9:$J$151)</f>
        <v>#VALUE!</v>
      </c>
      <c r="L128" s="419">
        <v>-912420</v>
      </c>
      <c r="M128" s="420">
        <v>0</v>
      </c>
      <c r="N128" s="245">
        <f>+M128/L128</f>
        <v>0</v>
      </c>
      <c r="O128" s="417">
        <f>M128</f>
        <v>0</v>
      </c>
      <c r="P128" s="418">
        <f>+O128/L128</f>
        <v>0</v>
      </c>
      <c r="Q128" s="383">
        <f t="shared" si="13"/>
        <v>0</v>
      </c>
      <c r="S128" s="373"/>
    </row>
    <row r="129" spans="1:22" x14ac:dyDescent="0.25">
      <c r="D129" s="363" t="s">
        <v>66</v>
      </c>
      <c r="E129" s="249">
        <v>0</v>
      </c>
      <c r="F129" s="248"/>
      <c r="G129" s="248"/>
      <c r="H129" s="248">
        <v>0</v>
      </c>
      <c r="I129" s="248"/>
      <c r="J129" s="248"/>
      <c r="K129" s="254" t="e">
        <f>SUMIF('[2]2014 Budget'!$A$9:$A$151,C129,'[2]2014 Budget'!$J$9:$J$151)</f>
        <v>#VALUE!</v>
      </c>
      <c r="L129" s="419">
        <v>105</v>
      </c>
      <c r="M129" s="420">
        <v>0</v>
      </c>
      <c r="N129" s="245">
        <f>+M129/L129</f>
        <v>0</v>
      </c>
      <c r="O129" s="417">
        <f>M129</f>
        <v>0</v>
      </c>
      <c r="P129" s="418">
        <f>+O129/L129</f>
        <v>0</v>
      </c>
      <c r="Q129" s="383">
        <f t="shared" si="13"/>
        <v>0</v>
      </c>
      <c r="S129" s="373"/>
    </row>
    <row r="130" spans="1:22" x14ac:dyDescent="0.25">
      <c r="D130" s="363" t="s">
        <v>444</v>
      </c>
      <c r="E130" s="249"/>
      <c r="F130" s="248"/>
      <c r="G130" s="248"/>
      <c r="H130" s="248">
        <v>0</v>
      </c>
      <c r="I130" s="248"/>
      <c r="J130" s="248"/>
      <c r="K130" s="254" t="e">
        <f>SUMIF('[2]2014 Budget'!$A$9:$A$151,C130,'[2]2014 Budget'!$J$9:$J$151)</f>
        <v>#VALUE!</v>
      </c>
      <c r="L130" s="419">
        <v>-609513</v>
      </c>
      <c r="M130" s="420"/>
      <c r="N130" s="245"/>
      <c r="O130" s="417">
        <f>M130</f>
        <v>0</v>
      </c>
      <c r="P130" s="418"/>
      <c r="Q130" s="383">
        <f t="shared" si="13"/>
        <v>0</v>
      </c>
      <c r="S130" s="373"/>
    </row>
    <row r="131" spans="1:22" x14ac:dyDescent="0.25">
      <c r="D131" s="363" t="s">
        <v>445</v>
      </c>
      <c r="E131" s="249">
        <v>0</v>
      </c>
      <c r="F131" s="248"/>
      <c r="G131" s="248"/>
      <c r="H131" s="248">
        <v>0</v>
      </c>
      <c r="I131" s="248"/>
      <c r="J131" s="248"/>
      <c r="K131" s="254" t="e">
        <f>SUMIF('[2]2014 Budget'!$A$9:$A$151,C131,'[2]2014 Budget'!$J$9:$J$151)</f>
        <v>#VALUE!</v>
      </c>
      <c r="L131" s="419">
        <v>0</v>
      </c>
      <c r="M131" s="420"/>
      <c r="N131" s="245"/>
      <c r="O131" s="417">
        <f>M131</f>
        <v>0</v>
      </c>
      <c r="P131" s="418"/>
      <c r="Q131" s="383">
        <f t="shared" si="13"/>
        <v>0</v>
      </c>
      <c r="S131" s="373"/>
    </row>
    <row r="132" spans="1:22" ht="16.5" thickBot="1" x14ac:dyDescent="0.3">
      <c r="D132" s="382" t="s">
        <v>446</v>
      </c>
      <c r="E132" s="276">
        <f t="shared" ref="E132:M132" si="25">SUM(E128:E131)</f>
        <v>0</v>
      </c>
      <c r="F132" s="275">
        <f t="shared" si="25"/>
        <v>0</v>
      </c>
      <c r="G132" s="275">
        <f t="shared" si="25"/>
        <v>0</v>
      </c>
      <c r="H132" s="275"/>
      <c r="I132" s="275"/>
      <c r="J132" s="286">
        <f>SUM(J128:J131)</f>
        <v>0</v>
      </c>
      <c r="K132" s="274" t="e">
        <f t="shared" si="25"/>
        <v>#VALUE!</v>
      </c>
      <c r="L132" s="460">
        <f t="shared" si="25"/>
        <v>-1521828</v>
      </c>
      <c r="M132" s="460">
        <f t="shared" si="25"/>
        <v>0</v>
      </c>
      <c r="N132" s="272">
        <f>+M132/L132</f>
        <v>0</v>
      </c>
      <c r="O132" s="461">
        <f>SUM(O128:O131)</f>
        <v>0</v>
      </c>
      <c r="P132" s="457">
        <f>+O132/L132</f>
        <v>0</v>
      </c>
      <c r="S132" s="373"/>
    </row>
    <row r="133" spans="1:22" ht="16.5" thickTop="1" x14ac:dyDescent="0.25">
      <c r="E133" s="249"/>
      <c r="F133" s="248"/>
      <c r="G133" s="248"/>
      <c r="H133" s="248"/>
      <c r="I133" s="248"/>
      <c r="J133" s="248"/>
      <c r="K133" s="254"/>
      <c r="L133" s="419"/>
      <c r="M133" s="420"/>
      <c r="N133" s="245"/>
      <c r="O133" s="441"/>
      <c r="P133" s="418"/>
      <c r="S133" s="373"/>
    </row>
    <row r="134" spans="1:22" x14ac:dyDescent="0.25">
      <c r="D134" s="363" t="s">
        <v>447</v>
      </c>
      <c r="E134" s="249">
        <v>0</v>
      </c>
      <c r="F134" s="248">
        <v>0</v>
      </c>
      <c r="G134" s="248">
        <v>0</v>
      </c>
      <c r="H134" s="248">
        <v>0</v>
      </c>
      <c r="I134" s="248"/>
      <c r="J134" s="248">
        <v>0</v>
      </c>
      <c r="K134" s="254"/>
      <c r="L134" s="419"/>
      <c r="M134" s="420"/>
      <c r="N134" s="245"/>
      <c r="O134" s="417">
        <f>M134</f>
        <v>0</v>
      </c>
      <c r="P134" s="418"/>
      <c r="S134" s="373"/>
    </row>
    <row r="135" spans="1:22" x14ac:dyDescent="0.25">
      <c r="E135" s="249"/>
      <c r="F135" s="248"/>
      <c r="G135" s="248"/>
      <c r="H135" s="248"/>
      <c r="I135" s="248"/>
      <c r="J135" s="248"/>
      <c r="K135" s="254"/>
      <c r="L135" s="419"/>
      <c r="M135" s="420"/>
      <c r="N135" s="245"/>
      <c r="O135" s="441"/>
      <c r="P135" s="418"/>
      <c r="S135" s="373"/>
    </row>
    <row r="136" spans="1:22" ht="16.5" thickBot="1" x14ac:dyDescent="0.3">
      <c r="D136" s="389" t="s">
        <v>448</v>
      </c>
      <c r="E136" s="262">
        <f t="shared" ref="E136:K136" si="26">+E125-E132-E134</f>
        <v>-23237</v>
      </c>
      <c r="F136" s="261">
        <f t="shared" si="26"/>
        <v>-107616.57261599996</v>
      </c>
      <c r="G136" s="261">
        <f t="shared" si="26"/>
        <v>-79701</v>
      </c>
      <c r="H136" s="261">
        <f t="shared" si="26"/>
        <v>-115459.58240000001</v>
      </c>
      <c r="I136" s="261">
        <f t="shared" si="26"/>
        <v>-142216.01499999996</v>
      </c>
      <c r="J136" s="462">
        <f t="shared" si="26"/>
        <v>-186585</v>
      </c>
      <c r="K136" s="458" t="e">
        <f t="shared" si="26"/>
        <v>#VALUE!</v>
      </c>
      <c r="L136" s="459">
        <f>+L125+L132+L134</f>
        <v>-1333058</v>
      </c>
      <c r="M136" s="459">
        <f>+M125+M132+M134</f>
        <v>-157578</v>
      </c>
      <c r="N136" s="266">
        <f>+M136/L136</f>
        <v>0.11820790993340125</v>
      </c>
      <c r="O136" s="463">
        <f>+O125-O132-O134</f>
        <v>0</v>
      </c>
      <c r="P136" s="464">
        <f>+O136/L136</f>
        <v>0</v>
      </c>
      <c r="S136" s="373"/>
    </row>
    <row r="137" spans="1:22" ht="16.5" thickTop="1" x14ac:dyDescent="0.25">
      <c r="E137" s="249"/>
      <c r="F137" s="248"/>
      <c r="G137" s="248"/>
      <c r="H137" s="248"/>
      <c r="I137" s="248"/>
      <c r="J137" s="248"/>
      <c r="K137" s="254"/>
      <c r="L137" s="419"/>
      <c r="M137" s="420"/>
      <c r="N137" s="245"/>
      <c r="O137" s="417"/>
      <c r="P137" s="418"/>
      <c r="S137" s="373"/>
    </row>
    <row r="138" spans="1:22" x14ac:dyDescent="0.25">
      <c r="D138" s="372" t="s">
        <v>449</v>
      </c>
      <c r="E138" s="249"/>
      <c r="F138" s="248"/>
      <c r="G138" s="248"/>
      <c r="H138" s="248"/>
      <c r="I138" s="248"/>
      <c r="J138" s="248"/>
      <c r="K138" s="254"/>
      <c r="L138" s="419"/>
      <c r="M138" s="420"/>
      <c r="N138" s="245"/>
      <c r="O138" s="417"/>
      <c r="P138" s="418"/>
      <c r="S138" s="373"/>
    </row>
    <row r="139" spans="1:22" x14ac:dyDescent="0.25">
      <c r="D139" s="363" t="s">
        <v>450</v>
      </c>
      <c r="E139" s="249">
        <v>0</v>
      </c>
      <c r="F139" s="248">
        <v>1472</v>
      </c>
      <c r="G139" s="248">
        <v>0</v>
      </c>
      <c r="H139" s="248">
        <v>0</v>
      </c>
      <c r="I139" s="248"/>
      <c r="J139" s="248"/>
      <c r="K139" s="254" t="e">
        <f>SUMIF('[2]2014 Budget'!$A$9:$A$151,C139,'[2]2014 Budget'!$J$9:$J$151)</f>
        <v>#VALUE!</v>
      </c>
      <c r="L139" s="419"/>
      <c r="M139" s="420"/>
      <c r="N139" s="245"/>
      <c r="O139" s="417"/>
      <c r="P139" s="418"/>
      <c r="S139" s="373"/>
    </row>
    <row r="140" spans="1:22" x14ac:dyDescent="0.25">
      <c r="D140" s="363" t="s">
        <v>451</v>
      </c>
      <c r="E140" s="249">
        <v>0</v>
      </c>
      <c r="F140" s="248">
        <v>0</v>
      </c>
      <c r="G140" s="248">
        <v>0</v>
      </c>
      <c r="H140" s="248">
        <v>0</v>
      </c>
      <c r="I140" s="248"/>
      <c r="J140" s="248"/>
      <c r="K140" s="254" t="e">
        <f>SUMIF('[2]2014 Budget'!$A$9:$A$151,C140,'[2]2014 Budget'!$J$9:$J$151)</f>
        <v>#VALUE!</v>
      </c>
      <c r="L140" s="419"/>
      <c r="M140" s="420"/>
      <c r="N140" s="245"/>
      <c r="O140" s="417"/>
      <c r="P140" s="418"/>
      <c r="S140" s="373"/>
    </row>
    <row r="141" spans="1:22" x14ac:dyDescent="0.25">
      <c r="D141" s="374" t="s">
        <v>452</v>
      </c>
      <c r="E141" s="265">
        <v>0</v>
      </c>
      <c r="F141" s="248">
        <v>0</v>
      </c>
      <c r="G141" s="248">
        <v>24696</v>
      </c>
      <c r="H141" s="248">
        <v>47831</v>
      </c>
      <c r="I141" s="248">
        <v>122936</v>
      </c>
      <c r="J141" s="248">
        <v>90568</v>
      </c>
      <c r="K141" s="254" t="e">
        <f>SUMIF('[2]2014 Budget'!$A$9:$A$151,C141,'[2]2014 Budget'!$J$9:$J$151)</f>
        <v>#VALUE!</v>
      </c>
      <c r="L141" s="419"/>
      <c r="M141" s="420"/>
      <c r="N141" s="245"/>
      <c r="O141" s="417"/>
      <c r="P141" s="418"/>
      <c r="S141" s="373"/>
    </row>
    <row r="142" spans="1:22" x14ac:dyDescent="0.25">
      <c r="C142" s="356" t="s">
        <v>151</v>
      </c>
      <c r="D142" s="363" t="s">
        <v>453</v>
      </c>
      <c r="E142" s="249">
        <v>1885</v>
      </c>
      <c r="F142" s="248">
        <v>43558</v>
      </c>
      <c r="G142" s="248">
        <v>5713</v>
      </c>
      <c r="H142" s="248">
        <v>16479</v>
      </c>
      <c r="I142" s="248">
        <v>6123</v>
      </c>
      <c r="J142" s="248">
        <v>26586</v>
      </c>
      <c r="K142" s="254" t="e">
        <f>SUMIF('[2]2014 Budget'!$A$9:$A$151,C142,'[2]2014 Budget'!$J$9:$J$151)</f>
        <v>#VALUE!</v>
      </c>
      <c r="L142" s="419">
        <v>38100</v>
      </c>
      <c r="M142" s="420">
        <v>-21000</v>
      </c>
      <c r="N142" s="245">
        <f>+M141/L142</f>
        <v>0</v>
      </c>
      <c r="O142" s="417"/>
      <c r="P142" s="418">
        <f>+O142/L142</f>
        <v>0</v>
      </c>
      <c r="S142" s="373"/>
    </row>
    <row r="143" spans="1:22" x14ac:dyDescent="0.25">
      <c r="D143" s="363" t="s">
        <v>454</v>
      </c>
      <c r="E143" s="249">
        <v>6298</v>
      </c>
      <c r="F143" s="248">
        <v>5324</v>
      </c>
      <c r="G143" s="248">
        <v>0</v>
      </c>
      <c r="H143" s="248">
        <v>0</v>
      </c>
      <c r="I143" s="248">
        <v>6571</v>
      </c>
      <c r="J143" s="248"/>
      <c r="K143" s="254" t="e">
        <f>SUMIF('[2]2014 Budget'!$A$9:$A$151,C143,'[2]2014 Budget'!$J$9:$J$151)</f>
        <v>#VALUE!</v>
      </c>
      <c r="L143" s="419"/>
      <c r="M143" s="420">
        <v>105281</v>
      </c>
      <c r="N143" s="245"/>
      <c r="O143" s="417"/>
      <c r="P143" s="418"/>
      <c r="S143" s="373"/>
    </row>
    <row r="144" spans="1:22" s="372" customFormat="1" ht="16.5" thickBot="1" x14ac:dyDescent="0.3">
      <c r="A144" s="356"/>
      <c r="B144" s="356"/>
      <c r="C144" s="356"/>
      <c r="D144" s="385" t="s">
        <v>455</v>
      </c>
      <c r="E144" s="262">
        <f t="shared" ref="E144:M144" si="27">SUM(E139:E143)</f>
        <v>8183</v>
      </c>
      <c r="F144" s="261">
        <f t="shared" si="27"/>
        <v>50354</v>
      </c>
      <c r="G144" s="261">
        <f t="shared" si="27"/>
        <v>30409</v>
      </c>
      <c r="H144" s="261">
        <f t="shared" si="27"/>
        <v>64310</v>
      </c>
      <c r="I144" s="261">
        <f t="shared" si="27"/>
        <v>135630</v>
      </c>
      <c r="J144" s="261">
        <f>SUM(J139:J143)</f>
        <v>117154</v>
      </c>
      <c r="K144" s="261" t="e">
        <f t="shared" si="27"/>
        <v>#VALUE!</v>
      </c>
      <c r="L144" s="465">
        <f t="shared" si="27"/>
        <v>38100</v>
      </c>
      <c r="M144" s="465">
        <f t="shared" si="27"/>
        <v>84281</v>
      </c>
      <c r="N144" s="258">
        <f>+M144/L144</f>
        <v>2.2120997375328084</v>
      </c>
      <c r="O144" s="466">
        <f>SUM(O139:O143)</f>
        <v>0</v>
      </c>
      <c r="P144" s="467">
        <f>+O144/L144</f>
        <v>0</v>
      </c>
      <c r="S144" s="373"/>
      <c r="T144" s="413"/>
      <c r="U144" s="363"/>
      <c r="V144" s="376"/>
    </row>
    <row r="145" spans="4:19" ht="16.5" thickTop="1" x14ac:dyDescent="0.25">
      <c r="E145" s="249"/>
      <c r="F145" s="248"/>
      <c r="G145" s="248"/>
      <c r="H145" s="248"/>
      <c r="I145" s="248"/>
      <c r="J145" s="248"/>
      <c r="K145" s="254"/>
      <c r="L145" s="419"/>
      <c r="M145" s="420"/>
      <c r="N145" s="245"/>
      <c r="O145" s="417"/>
      <c r="P145" s="418"/>
      <c r="S145" s="373"/>
    </row>
    <row r="146" spans="4:19" x14ac:dyDescent="0.25">
      <c r="D146" s="372" t="s">
        <v>456</v>
      </c>
      <c r="E146" s="252">
        <f>+E136+E144</f>
        <v>-15054</v>
      </c>
      <c r="F146" s="251">
        <f>++F136+F144</f>
        <v>-57262.572615999961</v>
      </c>
      <c r="G146" s="251">
        <f>++G136+G144</f>
        <v>-49292</v>
      </c>
      <c r="H146" s="251">
        <f>++H136+H144</f>
        <v>-51149.582400000014</v>
      </c>
      <c r="I146" s="251">
        <f>++I136+I144</f>
        <v>-6586.0149999999558</v>
      </c>
      <c r="J146" s="248">
        <f>++J136+J144</f>
        <v>-69431</v>
      </c>
      <c r="K146" s="251" t="e">
        <f>++K136-K144</f>
        <v>#VALUE!</v>
      </c>
      <c r="L146" s="468">
        <f>++L136+L144</f>
        <v>-1294958</v>
      </c>
      <c r="M146" s="468">
        <f>++M136+M144</f>
        <v>-73297</v>
      </c>
      <c r="N146" s="245"/>
      <c r="O146" s="417">
        <f>++O136+O144</f>
        <v>0</v>
      </c>
      <c r="P146" s="418">
        <f>+O146/L146</f>
        <v>0</v>
      </c>
      <c r="S146" s="373"/>
    </row>
    <row r="147" spans="4:19" x14ac:dyDescent="0.25">
      <c r="E147" s="249"/>
      <c r="F147" s="248"/>
      <c r="G147" s="248"/>
      <c r="H147" s="248"/>
      <c r="I147" s="248"/>
      <c r="J147" s="248"/>
      <c r="K147" s="248"/>
      <c r="L147" s="419"/>
      <c r="M147" s="420"/>
      <c r="N147" s="245"/>
      <c r="O147" s="417"/>
      <c r="P147" s="418"/>
    </row>
    <row r="148" spans="4:19" x14ac:dyDescent="0.25">
      <c r="D148" s="372" t="s">
        <v>457</v>
      </c>
      <c r="E148" s="252">
        <f t="shared" ref="E148:L148" si="28">+E146</f>
        <v>-15054</v>
      </c>
      <c r="F148" s="251">
        <f t="shared" si="28"/>
        <v>-57262.572615999961</v>
      </c>
      <c r="G148" s="251">
        <f t="shared" si="28"/>
        <v>-49292</v>
      </c>
      <c r="H148" s="251">
        <f t="shared" si="28"/>
        <v>-51149.582400000014</v>
      </c>
      <c r="I148" s="251">
        <f t="shared" si="28"/>
        <v>-6586.0149999999558</v>
      </c>
      <c r="J148" s="248">
        <f>+J146</f>
        <v>-69431</v>
      </c>
      <c r="K148" s="251" t="e">
        <f t="shared" si="28"/>
        <v>#VALUE!</v>
      </c>
      <c r="L148" s="468">
        <f t="shared" si="28"/>
        <v>-1294958</v>
      </c>
      <c r="M148" s="468">
        <f>+M146</f>
        <v>-73297</v>
      </c>
      <c r="N148" s="245"/>
      <c r="O148" s="432">
        <f>+O146</f>
        <v>0</v>
      </c>
      <c r="P148" s="418">
        <f>+O148/L148</f>
        <v>0</v>
      </c>
    </row>
    <row r="149" spans="4:19" ht="16.5" thickBot="1" x14ac:dyDescent="0.3">
      <c r="E149" s="249"/>
      <c r="F149" s="248"/>
      <c r="G149" s="248"/>
      <c r="H149" s="248"/>
      <c r="I149" s="248"/>
      <c r="J149" s="248"/>
      <c r="K149" s="248"/>
      <c r="L149" s="419"/>
      <c r="M149" s="420"/>
      <c r="N149" s="245"/>
      <c r="O149" s="417"/>
      <c r="P149" s="418"/>
    </row>
    <row r="150" spans="4:19" ht="16.5" thickBot="1" x14ac:dyDescent="0.3">
      <c r="D150" s="372" t="s">
        <v>458</v>
      </c>
      <c r="E150" s="243">
        <f t="shared" ref="E150:M150" si="29">+E148</f>
        <v>-15054</v>
      </c>
      <c r="F150" s="242">
        <f t="shared" si="29"/>
        <v>-57262.572615999961</v>
      </c>
      <c r="G150" s="242">
        <f t="shared" si="29"/>
        <v>-49292</v>
      </c>
      <c r="H150" s="242">
        <f t="shared" si="29"/>
        <v>-51149.582400000014</v>
      </c>
      <c r="I150" s="242">
        <f t="shared" si="29"/>
        <v>-6586.0149999999558</v>
      </c>
      <c r="J150" s="469">
        <f>+J148</f>
        <v>-69431</v>
      </c>
      <c r="K150" s="242" t="e">
        <f t="shared" si="29"/>
        <v>#VALUE!</v>
      </c>
      <c r="L150" s="470">
        <f t="shared" si="29"/>
        <v>-1294958</v>
      </c>
      <c r="M150" s="470">
        <f t="shared" si="29"/>
        <v>-73297</v>
      </c>
      <c r="N150" s="239"/>
      <c r="O150" s="471">
        <f>+O148</f>
        <v>0</v>
      </c>
      <c r="P150" s="472"/>
    </row>
    <row r="152" spans="4:19" hidden="1" x14ac:dyDescent="0.25"/>
    <row r="153" spans="4:19" hidden="1" x14ac:dyDescent="0.25">
      <c r="D153" s="363" t="s">
        <v>467</v>
      </c>
      <c r="J153" s="232">
        <v>162864.19</v>
      </c>
      <c r="M153" s="476">
        <v>162864.19</v>
      </c>
      <c r="O153" s="477">
        <f>M150-O150</f>
        <v>-73297</v>
      </c>
    </row>
    <row r="154" spans="4:19" ht="16.5" thickBot="1" x14ac:dyDescent="0.3">
      <c r="D154" s="478"/>
      <c r="E154" s="479"/>
      <c r="F154" s="479"/>
      <c r="G154" s="479"/>
      <c r="H154" s="479"/>
      <c r="I154" s="479"/>
      <c r="J154" s="480"/>
    </row>
    <row r="155" spans="4:19" x14ac:dyDescent="0.25">
      <c r="D155" s="481" t="s">
        <v>541</v>
      </c>
      <c r="E155" s="482"/>
      <c r="F155" s="482"/>
      <c r="G155" s="482"/>
      <c r="H155" s="482"/>
      <c r="I155" s="482"/>
      <c r="J155" s="483">
        <v>112043.21</v>
      </c>
      <c r="M155" s="420"/>
      <c r="O155" s="484"/>
    </row>
  </sheetData>
  <mergeCells count="2">
    <mergeCell ref="L1:N1"/>
    <mergeCell ref="O1:P1"/>
  </mergeCells>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pageSetUpPr fitToPage="1"/>
  </sheetPr>
  <dimension ref="A1:P40"/>
  <sheetViews>
    <sheetView workbookViewId="0">
      <selection activeCell="I17" sqref="I17"/>
    </sheetView>
  </sheetViews>
  <sheetFormatPr defaultColWidth="8.85546875" defaultRowHeight="12.75" x14ac:dyDescent="0.2"/>
  <cols>
    <col min="1" max="1" width="41.85546875" style="1" customWidth="1"/>
    <col min="2" max="2" width="37.42578125" style="1" customWidth="1"/>
    <col min="3" max="3" width="15.85546875" style="1" customWidth="1"/>
    <col min="4" max="4" width="6.42578125" style="1" customWidth="1"/>
    <col min="5" max="5" width="8.85546875" style="1"/>
    <col min="6" max="6" width="15" style="1" customWidth="1"/>
    <col min="7" max="7" width="12" style="1" bestFit="1" customWidth="1"/>
    <col min="8" max="8" width="15.42578125" style="1" bestFit="1" customWidth="1"/>
    <col min="9" max="9" width="18.7109375" style="1" customWidth="1"/>
    <col min="10" max="10" width="22.42578125" style="557" customWidth="1"/>
    <col min="11" max="16384" width="8.85546875" style="1"/>
  </cols>
  <sheetData>
    <row r="1" spans="1:10" s="520" customFormat="1" ht="23.25" x14ac:dyDescent="0.35">
      <c r="A1" s="681"/>
      <c r="B1" s="681"/>
      <c r="C1" s="681" t="s">
        <v>556</v>
      </c>
      <c r="D1" s="681"/>
      <c r="E1" s="681"/>
      <c r="F1" s="681"/>
      <c r="G1" s="681"/>
      <c r="H1" s="681"/>
      <c r="I1" s="681"/>
      <c r="J1" s="682"/>
    </row>
    <row r="2" spans="1:10" ht="13.5" thickBot="1" x14ac:dyDescent="0.25">
      <c r="A2" s="605"/>
      <c r="B2" s="605"/>
      <c r="C2" s="605"/>
      <c r="D2" s="605"/>
      <c r="E2" s="605"/>
      <c r="F2" s="605"/>
      <c r="G2" s="605"/>
      <c r="H2" s="605"/>
      <c r="I2" s="605"/>
      <c r="J2" s="683"/>
    </row>
    <row r="3" spans="1:10" ht="45.75" thickBot="1" x14ac:dyDescent="0.3">
      <c r="A3" s="43" t="s">
        <v>116</v>
      </c>
      <c r="B3" s="44" t="s">
        <v>117</v>
      </c>
      <c r="C3" s="44" t="s">
        <v>118</v>
      </c>
      <c r="D3" s="44" t="s">
        <v>119</v>
      </c>
      <c r="E3" s="44" t="s">
        <v>120</v>
      </c>
      <c r="F3" s="44" t="s">
        <v>615</v>
      </c>
      <c r="G3" s="44" t="s">
        <v>555</v>
      </c>
      <c r="H3" s="44" t="s">
        <v>613</v>
      </c>
      <c r="I3" s="44" t="s">
        <v>122</v>
      </c>
      <c r="J3" s="684" t="s">
        <v>139</v>
      </c>
    </row>
    <row r="4" spans="1:10" ht="26.25" thickBot="1" x14ac:dyDescent="0.25">
      <c r="A4" s="666" t="s">
        <v>616</v>
      </c>
      <c r="B4" s="667" t="s">
        <v>542</v>
      </c>
      <c r="C4" s="668" t="s">
        <v>543</v>
      </c>
      <c r="D4" s="669">
        <v>1</v>
      </c>
      <c r="E4" s="670">
        <v>18500</v>
      </c>
      <c r="F4" s="671">
        <f>D4*E4</f>
        <v>18500</v>
      </c>
      <c r="G4" s="685">
        <f>F4*0.55</f>
        <v>10175</v>
      </c>
      <c r="H4" s="686">
        <v>0.55000000000000004</v>
      </c>
      <c r="I4" s="672" t="s">
        <v>644</v>
      </c>
      <c r="J4" s="687" t="s">
        <v>617</v>
      </c>
    </row>
    <row r="5" spans="1:10" x14ac:dyDescent="0.2">
      <c r="A5" s="673" t="s">
        <v>710</v>
      </c>
      <c r="B5" s="592"/>
      <c r="C5" s="593" t="s">
        <v>711</v>
      </c>
      <c r="D5" s="594">
        <v>4</v>
      </c>
      <c r="E5" s="674">
        <v>5400</v>
      </c>
      <c r="F5" s="675">
        <f>D5*E5</f>
        <v>21600</v>
      </c>
      <c r="G5" s="549">
        <f t="shared" ref="G5:G26" si="0">F5*0.55</f>
        <v>11880.000000000002</v>
      </c>
      <c r="H5" s="679">
        <v>1</v>
      </c>
      <c r="I5" s="677" t="s">
        <v>644</v>
      </c>
      <c r="J5" s="678" t="s">
        <v>712</v>
      </c>
    </row>
    <row r="6" spans="1:10" x14ac:dyDescent="0.2">
      <c r="A6" s="673" t="s">
        <v>715</v>
      </c>
      <c r="B6" s="592"/>
      <c r="C6" s="593" t="s">
        <v>713</v>
      </c>
      <c r="D6" s="594">
        <v>5</v>
      </c>
      <c r="E6" s="674">
        <v>9000</v>
      </c>
      <c r="F6" s="675">
        <f>D6*E6</f>
        <v>45000</v>
      </c>
      <c r="G6" s="549">
        <f t="shared" si="0"/>
        <v>24750.000000000004</v>
      </c>
      <c r="H6" s="679">
        <v>1</v>
      </c>
      <c r="I6" s="677" t="s">
        <v>644</v>
      </c>
      <c r="J6" s="678" t="s">
        <v>712</v>
      </c>
    </row>
    <row r="7" spans="1:10" x14ac:dyDescent="0.2">
      <c r="A7" s="673" t="s">
        <v>714</v>
      </c>
      <c r="B7" s="592"/>
      <c r="C7" s="593" t="s">
        <v>713</v>
      </c>
      <c r="D7" s="594">
        <v>5</v>
      </c>
      <c r="E7" s="674">
        <v>4400</v>
      </c>
      <c r="F7" s="675">
        <f>E7*D7</f>
        <v>22000</v>
      </c>
      <c r="G7" s="549">
        <f t="shared" si="0"/>
        <v>12100.000000000002</v>
      </c>
      <c r="H7" s="679">
        <v>1</v>
      </c>
      <c r="I7" s="677" t="s">
        <v>644</v>
      </c>
      <c r="J7" s="678" t="s">
        <v>712</v>
      </c>
    </row>
    <row r="8" spans="1:10" x14ac:dyDescent="0.2">
      <c r="A8" s="581" t="s">
        <v>716</v>
      </c>
      <c r="B8" s="592"/>
      <c r="C8" s="593" t="s">
        <v>713</v>
      </c>
      <c r="D8" s="594">
        <v>5</v>
      </c>
      <c r="E8" s="674">
        <v>2000</v>
      </c>
      <c r="F8" s="675">
        <f>E8*D8</f>
        <v>10000</v>
      </c>
      <c r="G8" s="549">
        <f t="shared" si="0"/>
        <v>5500</v>
      </c>
      <c r="H8" s="679">
        <v>1</v>
      </c>
      <c r="I8" s="677" t="s">
        <v>644</v>
      </c>
      <c r="J8" s="678" t="s">
        <v>712</v>
      </c>
    </row>
    <row r="9" spans="1:10" x14ac:dyDescent="0.2">
      <c r="A9" s="581"/>
      <c r="B9" s="592"/>
      <c r="C9" s="593"/>
      <c r="D9" s="594"/>
      <c r="E9" s="674"/>
      <c r="F9" s="675"/>
      <c r="G9" s="549">
        <f t="shared" si="0"/>
        <v>0</v>
      </c>
      <c r="H9" s="679"/>
      <c r="I9" s="596"/>
      <c r="J9" s="678"/>
    </row>
    <row r="10" spans="1:10" x14ac:dyDescent="0.2">
      <c r="A10" s="673"/>
      <c r="B10" s="592"/>
      <c r="C10" s="593"/>
      <c r="D10" s="594"/>
      <c r="E10" s="674"/>
      <c r="F10" s="675"/>
      <c r="G10" s="549">
        <f t="shared" si="0"/>
        <v>0</v>
      </c>
      <c r="H10" s="679"/>
      <c r="I10" s="596"/>
      <c r="J10" s="678"/>
    </row>
    <row r="11" spans="1:10" x14ac:dyDescent="0.2">
      <c r="A11" s="673"/>
      <c r="B11" s="592"/>
      <c r="C11" s="593"/>
      <c r="D11" s="594"/>
      <c r="E11" s="674"/>
      <c r="F11" s="675"/>
      <c r="G11" s="549">
        <f t="shared" si="0"/>
        <v>0</v>
      </c>
      <c r="H11" s="679"/>
      <c r="I11" s="596"/>
      <c r="J11" s="678"/>
    </row>
    <row r="12" spans="1:10" x14ac:dyDescent="0.2">
      <c r="A12" s="673"/>
      <c r="B12" s="592"/>
      <c r="C12" s="593"/>
      <c r="D12" s="594"/>
      <c r="E12" s="803"/>
      <c r="F12" s="675"/>
      <c r="G12" s="549">
        <f t="shared" si="0"/>
        <v>0</v>
      </c>
      <c r="H12" s="679"/>
      <c r="I12" s="596"/>
      <c r="J12" s="678"/>
    </row>
    <row r="13" spans="1:10" x14ac:dyDescent="0.2">
      <c r="A13" s="581"/>
      <c r="B13" s="592"/>
      <c r="C13" s="593"/>
      <c r="D13" s="594"/>
      <c r="E13" s="674"/>
      <c r="F13" s="675"/>
      <c r="G13" s="549">
        <f t="shared" si="0"/>
        <v>0</v>
      </c>
      <c r="H13" s="679"/>
      <c r="I13" s="596"/>
      <c r="J13" s="678"/>
    </row>
    <row r="14" spans="1:10" x14ac:dyDescent="0.2">
      <c r="A14" s="581"/>
      <c r="B14" s="592"/>
      <c r="C14" s="593"/>
      <c r="D14" s="594"/>
      <c r="E14" s="674"/>
      <c r="F14" s="675"/>
      <c r="G14" s="549">
        <f t="shared" si="0"/>
        <v>0</v>
      </c>
      <c r="H14" s="679"/>
      <c r="I14" s="596"/>
      <c r="J14" s="678"/>
    </row>
    <row r="15" spans="1:10" x14ac:dyDescent="0.2">
      <c r="A15" s="581"/>
      <c r="B15" s="592"/>
      <c r="C15" s="593"/>
      <c r="D15" s="594"/>
      <c r="E15" s="674"/>
      <c r="F15" s="675"/>
      <c r="G15" s="549">
        <f t="shared" si="0"/>
        <v>0</v>
      </c>
      <c r="H15" s="679"/>
      <c r="I15" s="596"/>
      <c r="J15" s="678"/>
    </row>
    <row r="16" spans="1:10" x14ac:dyDescent="0.2">
      <c r="A16" s="581"/>
      <c r="B16" s="592"/>
      <c r="C16" s="593"/>
      <c r="D16" s="594"/>
      <c r="E16" s="674"/>
      <c r="F16" s="675"/>
      <c r="G16" s="549">
        <f t="shared" si="0"/>
        <v>0</v>
      </c>
      <c r="H16" s="679"/>
      <c r="I16" s="596"/>
      <c r="J16" s="678"/>
    </row>
    <row r="17" spans="1:16" x14ac:dyDescent="0.2">
      <c r="A17" s="581"/>
      <c r="B17" s="592"/>
      <c r="C17" s="593"/>
      <c r="D17" s="594"/>
      <c r="E17" s="674"/>
      <c r="F17" s="675"/>
      <c r="G17" s="549">
        <f t="shared" si="0"/>
        <v>0</v>
      </c>
      <c r="H17" s="679"/>
      <c r="I17" s="596"/>
      <c r="J17" s="678"/>
    </row>
    <row r="18" spans="1:16" x14ac:dyDescent="0.2">
      <c r="A18" s="581"/>
      <c r="B18" s="592"/>
      <c r="C18" s="593"/>
      <c r="D18" s="594"/>
      <c r="E18" s="674"/>
      <c r="F18" s="675"/>
      <c r="G18" s="549">
        <f t="shared" si="0"/>
        <v>0</v>
      </c>
      <c r="H18" s="679"/>
      <c r="I18" s="596"/>
      <c r="J18" s="678"/>
    </row>
    <row r="19" spans="1:16" x14ac:dyDescent="0.2">
      <c r="A19" s="581"/>
      <c r="B19" s="592"/>
      <c r="C19" s="593"/>
      <c r="D19" s="594"/>
      <c r="E19" s="674"/>
      <c r="F19" s="675"/>
      <c r="G19" s="549">
        <f t="shared" si="0"/>
        <v>0</v>
      </c>
      <c r="H19" s="679"/>
      <c r="I19" s="596"/>
      <c r="J19" s="678"/>
    </row>
    <row r="20" spans="1:16" x14ac:dyDescent="0.2">
      <c r="A20" s="581"/>
      <c r="B20" s="592"/>
      <c r="C20" s="593"/>
      <c r="D20" s="594"/>
      <c r="E20" s="674"/>
      <c r="F20" s="675"/>
      <c r="G20" s="549">
        <f t="shared" si="0"/>
        <v>0</v>
      </c>
      <c r="H20" s="679"/>
      <c r="I20" s="596"/>
      <c r="J20" s="678"/>
    </row>
    <row r="21" spans="1:16" x14ac:dyDescent="0.2">
      <c r="A21" s="581"/>
      <c r="B21" s="592"/>
      <c r="C21" s="593"/>
      <c r="D21" s="594"/>
      <c r="E21" s="674"/>
      <c r="F21" s="675"/>
      <c r="G21" s="549">
        <f t="shared" si="0"/>
        <v>0</v>
      </c>
      <c r="H21" s="679"/>
      <c r="I21" s="596"/>
      <c r="J21" s="678"/>
    </row>
    <row r="22" spans="1:16" x14ac:dyDescent="0.2">
      <c r="A22" s="581"/>
      <c r="B22" s="592"/>
      <c r="C22" s="593"/>
      <c r="D22" s="594"/>
      <c r="E22" s="674"/>
      <c r="F22" s="675"/>
      <c r="G22" s="549">
        <f t="shared" si="0"/>
        <v>0</v>
      </c>
      <c r="H22" s="679"/>
      <c r="I22" s="596"/>
      <c r="J22" s="678"/>
    </row>
    <row r="23" spans="1:16" x14ac:dyDescent="0.2">
      <c r="A23" s="581"/>
      <c r="B23" s="592"/>
      <c r="C23" s="593"/>
      <c r="D23" s="594"/>
      <c r="E23" s="674"/>
      <c r="F23" s="675"/>
      <c r="G23" s="549">
        <f t="shared" si="0"/>
        <v>0</v>
      </c>
      <c r="H23" s="679"/>
      <c r="I23" s="596"/>
      <c r="J23" s="678"/>
    </row>
    <row r="24" spans="1:16" x14ac:dyDescent="0.2">
      <c r="A24" s="581"/>
      <c r="B24" s="592"/>
      <c r="C24" s="593"/>
      <c r="D24" s="594"/>
      <c r="E24" s="674"/>
      <c r="F24" s="675"/>
      <c r="G24" s="549">
        <f t="shared" si="0"/>
        <v>0</v>
      </c>
      <c r="H24" s="679"/>
      <c r="I24" s="596"/>
      <c r="J24" s="678"/>
    </row>
    <row r="25" spans="1:16" x14ac:dyDescent="0.2">
      <c r="A25" s="581"/>
      <c r="B25" s="592"/>
      <c r="C25" s="593"/>
      <c r="D25" s="594"/>
      <c r="E25" s="674"/>
      <c r="F25" s="675"/>
      <c r="G25" s="549">
        <f t="shared" si="0"/>
        <v>0</v>
      </c>
      <c r="H25" s="679"/>
      <c r="I25" s="596"/>
      <c r="J25" s="678"/>
    </row>
    <row r="26" spans="1:16" x14ac:dyDescent="0.2">
      <c r="A26" s="581"/>
      <c r="B26" s="592"/>
      <c r="C26" s="593"/>
      <c r="D26" s="594"/>
      <c r="E26" s="674"/>
      <c r="F26" s="675"/>
      <c r="G26" s="549">
        <f t="shared" si="0"/>
        <v>0</v>
      </c>
      <c r="H26" s="679"/>
      <c r="I26" s="596"/>
      <c r="J26" s="678"/>
    </row>
    <row r="27" spans="1:16" x14ac:dyDescent="0.2">
      <c r="A27" s="676"/>
      <c r="B27" s="9" t="s">
        <v>614</v>
      </c>
      <c r="C27" s="593"/>
      <c r="D27" s="674"/>
      <c r="E27" s="674"/>
      <c r="F27" s="550">
        <f>SUM(F5:F26)</f>
        <v>98600</v>
      </c>
      <c r="G27" s="549">
        <f>F27*0.55</f>
        <v>54230.000000000007</v>
      </c>
      <c r="H27" s="680"/>
      <c r="I27" s="596"/>
      <c r="J27" s="678"/>
    </row>
    <row r="28" spans="1:16" ht="15.75" thickBot="1" x14ac:dyDescent="0.3">
      <c r="A28" s="39"/>
      <c r="B28" s="40"/>
      <c r="C28" s="40"/>
      <c r="D28" s="40"/>
      <c r="E28" s="40"/>
      <c r="F28" s="40"/>
      <c r="G28" s="45"/>
      <c r="H28" s="45"/>
      <c r="I28" s="41"/>
      <c r="J28" s="558"/>
    </row>
    <row r="29" spans="1:16" s="47" customFormat="1" x14ac:dyDescent="0.2">
      <c r="A29" s="46"/>
      <c r="B29" s="8"/>
      <c r="C29" s="8"/>
      <c r="D29" s="8"/>
      <c r="E29" s="8"/>
      <c r="F29" s="8"/>
      <c r="I29" s="8"/>
      <c r="J29" s="559"/>
    </row>
    <row r="32" spans="1:16" s="133" customFormat="1" ht="21" x14ac:dyDescent="0.35">
      <c r="A32" s="659" t="s">
        <v>618</v>
      </c>
      <c r="B32" s="780"/>
      <c r="C32" s="780"/>
      <c r="D32" s="617"/>
      <c r="E32" s="617"/>
      <c r="F32" s="617"/>
      <c r="G32" s="617"/>
      <c r="H32" s="617"/>
      <c r="I32" s="629"/>
      <c r="J32" s="617"/>
      <c r="K32" s="105"/>
      <c r="L32" s="617"/>
      <c r="M32" s="629"/>
      <c r="N32" s="824"/>
      <c r="O32" s="824"/>
      <c r="P32" s="130"/>
    </row>
    <row r="33" spans="1:16" s="133" customFormat="1" ht="16.5" thickBot="1" x14ac:dyDescent="0.3">
      <c r="A33" s="612" t="s">
        <v>544</v>
      </c>
      <c r="B33" s="630"/>
      <c r="C33" s="630"/>
      <c r="D33" s="617"/>
      <c r="E33" s="630"/>
      <c r="F33" s="617"/>
      <c r="G33" s="617"/>
      <c r="H33" s="617"/>
      <c r="I33" s="879"/>
      <c r="J33" s="879"/>
      <c r="K33" s="879"/>
      <c r="L33" s="617"/>
      <c r="M33" s="629"/>
      <c r="N33" s="824"/>
      <c r="O33" s="824"/>
      <c r="P33" s="130"/>
    </row>
    <row r="34" spans="1:16" s="133" customFormat="1" ht="15.75" x14ac:dyDescent="0.25">
      <c r="A34" s="613"/>
      <c r="B34" s="781"/>
      <c r="C34" s="781"/>
      <c r="D34" s="877"/>
      <c r="E34" s="878"/>
      <c r="F34" s="631"/>
      <c r="G34" s="865"/>
      <c r="H34" s="866"/>
      <c r="I34" s="629"/>
      <c r="J34" s="806"/>
      <c r="K34" s="806"/>
      <c r="L34" s="617"/>
      <c r="M34" s="629"/>
      <c r="N34" s="824"/>
      <c r="O34" s="824"/>
      <c r="P34" s="130"/>
    </row>
    <row r="35" spans="1:16" s="133" customFormat="1" ht="15.75" x14ac:dyDescent="0.25">
      <c r="A35" s="613" t="s">
        <v>545</v>
      </c>
      <c r="B35" s="781"/>
      <c r="C35" s="781"/>
      <c r="D35" s="632"/>
      <c r="E35" s="633"/>
      <c r="F35" s="633"/>
      <c r="G35" s="867"/>
      <c r="H35" s="868"/>
      <c r="I35" s="629"/>
      <c r="J35" s="494"/>
      <c r="K35" s="494"/>
      <c r="L35" s="617"/>
      <c r="M35" s="629"/>
      <c r="N35" s="824"/>
      <c r="O35" s="824"/>
      <c r="P35" s="130"/>
    </row>
    <row r="36" spans="1:16" s="133" customFormat="1" ht="16.5" thickBot="1" x14ac:dyDescent="0.3">
      <c r="A36" s="613"/>
      <c r="B36" s="617"/>
      <c r="C36" s="617"/>
      <c r="D36" s="632"/>
      <c r="E36" s="633"/>
      <c r="F36" s="633"/>
      <c r="G36" s="867"/>
      <c r="H36" s="868"/>
      <c r="I36" s="629"/>
      <c r="J36" s="494"/>
      <c r="K36" s="807"/>
      <c r="L36" s="617"/>
      <c r="M36" s="629"/>
      <c r="N36" s="824"/>
      <c r="O36" s="824"/>
      <c r="P36" s="130"/>
    </row>
    <row r="37" spans="1:16" s="133" customFormat="1" ht="16.5" thickTop="1" x14ac:dyDescent="0.25">
      <c r="A37" s="612" t="s">
        <v>558</v>
      </c>
      <c r="B37" s="618"/>
      <c r="C37" s="618"/>
      <c r="D37" s="875"/>
      <c r="E37" s="876"/>
      <c r="F37" s="633"/>
      <c r="G37" s="867"/>
      <c r="H37" s="868"/>
      <c r="I37" s="629"/>
      <c r="J37" s="494"/>
      <c r="K37" s="494"/>
      <c r="L37" s="618"/>
      <c r="M37" s="636"/>
      <c r="N37" s="824"/>
      <c r="O37" s="824"/>
      <c r="P37" s="130"/>
    </row>
    <row r="38" spans="1:16" s="133" customFormat="1" ht="15.75" x14ac:dyDescent="0.25">
      <c r="A38" s="612"/>
      <c r="B38" s="618"/>
      <c r="C38" s="618"/>
      <c r="D38" s="875"/>
      <c r="E38" s="876"/>
      <c r="F38" s="633"/>
      <c r="G38" s="867"/>
      <c r="H38" s="868"/>
      <c r="I38" s="629"/>
      <c r="J38" s="494"/>
      <c r="K38" s="808"/>
      <c r="L38" s="618"/>
      <c r="M38" s="636"/>
      <c r="N38" s="824"/>
      <c r="O38" s="824"/>
      <c r="P38" s="130"/>
    </row>
    <row r="39" spans="1:16" s="133" customFormat="1" ht="16.5" thickBot="1" x14ac:dyDescent="0.3">
      <c r="A39" s="612" t="s">
        <v>546</v>
      </c>
      <c r="B39" s="782"/>
      <c r="C39" s="782"/>
      <c r="D39" s="863"/>
      <c r="E39" s="864"/>
      <c r="F39" s="634"/>
      <c r="G39" s="869"/>
      <c r="H39" s="870"/>
      <c r="I39" s="629"/>
      <c r="J39" s="618"/>
      <c r="K39" s="105"/>
      <c r="L39" s="618"/>
      <c r="M39" s="636"/>
      <c r="N39" s="824"/>
      <c r="O39" s="824"/>
      <c r="P39" s="130"/>
    </row>
    <row r="40" spans="1:16" s="133" customFormat="1" ht="15.75" x14ac:dyDescent="0.25">
      <c r="A40" s="614"/>
      <c r="B40" s="782"/>
      <c r="C40" s="782"/>
      <c r="D40" s="617"/>
      <c r="E40" s="618"/>
      <c r="F40" s="618"/>
      <c r="G40" s="618"/>
      <c r="H40" s="618"/>
      <c r="I40" s="629"/>
      <c r="J40" s="618"/>
      <c r="K40" s="105"/>
      <c r="L40" s="618"/>
      <c r="M40" s="636"/>
      <c r="N40" s="824"/>
      <c r="O40" s="824"/>
      <c r="P40" s="130"/>
    </row>
  </sheetData>
  <sheetProtection insertRows="0" selectLockedCells="1"/>
  <protectedRanges>
    <protectedRange sqref="A24:E27 I24:I27" name="Range1_1"/>
    <protectedRange sqref="A21:E21 I21 A23:E23 I23" name="Range1_1_1"/>
    <protectedRange sqref="A19:E20 I19" name="Range1_1_3"/>
    <protectedRange sqref="B4:E7 I20 E8:E11 E13:E18 A8:D18 I4:I18" name="Range1_1_1_1"/>
    <protectedRange sqref="A4:A7" name="Range1_1_1_1_1"/>
    <protectedRange sqref="A22:B22 D22:E22" name="Range1_1_2"/>
    <protectedRange sqref="C22 I22" name="Range1_1_1_1_2"/>
  </protectedRanges>
  <mergeCells count="11">
    <mergeCell ref="D38:E38"/>
    <mergeCell ref="G38:H38"/>
    <mergeCell ref="D39:E39"/>
    <mergeCell ref="G39:H39"/>
    <mergeCell ref="I33:K33"/>
    <mergeCell ref="D34:E34"/>
    <mergeCell ref="G34:H34"/>
    <mergeCell ref="G35:H35"/>
    <mergeCell ref="G36:H36"/>
    <mergeCell ref="D37:E37"/>
    <mergeCell ref="G37:H37"/>
  </mergeCells>
  <pageMargins left="0.75" right="0.75" top="1" bottom="1" header="0.5" footer="0.5"/>
  <headerFooter alignWithMargins="0">
    <oddHeader>&amp;C&amp;"Calibri,Bold"&amp;14&amp;F
&amp;A</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2D050"/>
  </sheetPr>
  <dimension ref="A1:Z740"/>
  <sheetViews>
    <sheetView view="pageBreakPreview" topLeftCell="B56" zoomScale="60" zoomScaleNormal="80" zoomScalePageLayoutView="80" workbookViewId="0">
      <selection activeCell="K75" sqref="K75"/>
    </sheetView>
  </sheetViews>
  <sheetFormatPr defaultColWidth="8.85546875" defaultRowHeight="15.75" x14ac:dyDescent="0.25"/>
  <cols>
    <col min="1" max="1" width="13.85546875" style="132" hidden="1" customWidth="1"/>
    <col min="2" max="2" width="37.28515625" style="162" customWidth="1"/>
    <col min="3" max="3" width="14.28515625" style="220" hidden="1" customWidth="1"/>
    <col min="4" max="4" width="13.42578125" style="220" hidden="1" customWidth="1"/>
    <col min="5" max="6" width="14.28515625" style="220" hidden="1" customWidth="1"/>
    <col min="7" max="7" width="13.85546875" style="220" hidden="1" customWidth="1"/>
    <col min="8" max="8" width="14.42578125" style="220" hidden="1" customWidth="1"/>
    <col min="9" max="9" width="19.85546875" style="220" bestFit="1" customWidth="1"/>
    <col min="10" max="10" width="19.42578125" style="220" bestFit="1" customWidth="1"/>
    <col min="11" max="11" width="15.28515625" style="221" customWidth="1"/>
    <col min="12" max="12" width="13.28515625" style="220" customWidth="1"/>
    <col min="13" max="15" width="12.7109375" style="220" hidden="1" customWidth="1"/>
    <col min="16" max="16" width="15.28515625" style="222" hidden="1" customWidth="1"/>
    <col min="17" max="17" width="13.28515625" style="105" customWidth="1"/>
    <col min="18" max="18" width="19.85546875" style="136" bestFit="1" customWidth="1"/>
    <col min="19" max="19" width="14.28515625" style="105" customWidth="1"/>
    <col min="20" max="20" width="12.7109375" style="135" customWidth="1"/>
    <col min="21" max="21" width="28.85546875" style="354" customWidth="1"/>
    <col min="22" max="22" width="18.42578125" style="393" customWidth="1"/>
    <col min="23" max="23" width="13.85546875" style="204" customWidth="1"/>
    <col min="24" max="24" width="14.28515625" style="204" customWidth="1"/>
    <col min="25" max="25" width="14" style="401" customWidth="1"/>
    <col min="26" max="26" width="8.85546875" style="394"/>
    <col min="27" max="16384" width="8.85546875" style="131"/>
  </cols>
  <sheetData>
    <row r="1" spans="1:26" ht="15.6" customHeight="1" x14ac:dyDescent="0.25">
      <c r="A1" s="129"/>
      <c r="B1" s="885" t="str">
        <f>'na data'!B1</f>
        <v>Interstate Realty and Management</v>
      </c>
      <c r="C1" s="886"/>
      <c r="D1" s="886"/>
      <c r="E1" s="886"/>
      <c r="F1" s="886"/>
      <c r="G1" s="886"/>
      <c r="H1" s="886"/>
      <c r="I1" s="886"/>
      <c r="J1" s="886"/>
      <c r="K1" s="886"/>
      <c r="L1" s="886"/>
      <c r="M1" s="886"/>
      <c r="N1" s="886"/>
      <c r="O1" s="886"/>
      <c r="P1" s="886"/>
      <c r="Q1" s="886"/>
      <c r="R1" s="886"/>
      <c r="S1" s="886"/>
      <c r="T1" s="886"/>
      <c r="U1" s="353"/>
      <c r="V1" s="391"/>
      <c r="W1" s="131"/>
      <c r="X1" s="131"/>
      <c r="Y1" s="394"/>
    </row>
    <row r="2" spans="1:26" x14ac:dyDescent="0.25">
      <c r="B2" s="887" t="s">
        <v>504</v>
      </c>
      <c r="C2" s="888"/>
      <c r="D2" s="888"/>
      <c r="E2" s="888"/>
      <c r="F2" s="888"/>
      <c r="G2" s="888"/>
      <c r="H2" s="888"/>
      <c r="I2" s="888"/>
      <c r="J2" s="888"/>
      <c r="K2" s="888"/>
      <c r="L2" s="888"/>
      <c r="M2" s="888"/>
      <c r="N2" s="888"/>
      <c r="O2" s="888"/>
      <c r="P2" s="888"/>
      <c r="Q2" s="888"/>
      <c r="R2" s="888"/>
      <c r="S2" s="888"/>
      <c r="T2" s="888"/>
      <c r="Y2" s="395" t="s">
        <v>521</v>
      </c>
      <c r="Z2" s="394" t="s">
        <v>522</v>
      </c>
    </row>
    <row r="3" spans="1:26" ht="15.6" customHeight="1" x14ac:dyDescent="0.25">
      <c r="A3" s="129"/>
      <c r="B3" s="887" t="str">
        <f>'na data'!B2</f>
        <v>Westhaven Park II B</v>
      </c>
      <c r="C3" s="888"/>
      <c r="D3" s="888"/>
      <c r="E3" s="888"/>
      <c r="F3" s="888"/>
      <c r="G3" s="888"/>
      <c r="H3" s="888"/>
      <c r="I3" s="888"/>
      <c r="J3" s="888"/>
      <c r="K3" s="888"/>
      <c r="L3" s="888"/>
      <c r="M3" s="888"/>
      <c r="N3" s="888"/>
      <c r="O3" s="888"/>
      <c r="P3" s="888"/>
      <c r="Q3" s="888"/>
      <c r="R3" s="888"/>
      <c r="S3" s="888"/>
      <c r="T3" s="888"/>
      <c r="V3" s="391"/>
      <c r="W3" s="131"/>
      <c r="X3" s="131"/>
      <c r="Y3" s="394"/>
    </row>
    <row r="4" spans="1:26" ht="15.6" customHeight="1" thickBot="1" x14ac:dyDescent="0.3">
      <c r="B4" s="134" t="s">
        <v>78</v>
      </c>
      <c r="C4" s="99"/>
      <c r="D4" s="99">
        <f>E4</f>
        <v>127</v>
      </c>
      <c r="E4" s="99">
        <f>'na data'!B3</f>
        <v>127</v>
      </c>
      <c r="F4" s="99">
        <v>127</v>
      </c>
      <c r="G4" s="99">
        <f>E4</f>
        <v>127</v>
      </c>
      <c r="H4" s="99">
        <f>G4</f>
        <v>127</v>
      </c>
      <c r="I4" s="99">
        <v>127</v>
      </c>
      <c r="J4" s="99">
        <v>127</v>
      </c>
      <c r="K4" s="99">
        <f>H4</f>
        <v>127</v>
      </c>
      <c r="L4" s="105"/>
      <c r="M4" s="105"/>
      <c r="N4" s="105"/>
      <c r="O4" s="105"/>
      <c r="P4" s="135"/>
      <c r="V4" s="391"/>
      <c r="W4" s="131"/>
      <c r="X4" s="131"/>
      <c r="Y4" s="394"/>
    </row>
    <row r="5" spans="1:26" ht="15.6" customHeight="1" x14ac:dyDescent="0.25">
      <c r="B5" s="134" t="s">
        <v>54</v>
      </c>
      <c r="C5" s="99"/>
      <c r="D5" s="99">
        <f>E5</f>
        <v>70</v>
      </c>
      <c r="E5" s="99">
        <f>'na data'!B4</f>
        <v>70</v>
      </c>
      <c r="F5" s="99">
        <v>70</v>
      </c>
      <c r="G5" s="99">
        <f>E5</f>
        <v>70</v>
      </c>
      <c r="H5" s="99">
        <f>G5</f>
        <v>70</v>
      </c>
      <c r="I5" s="99">
        <v>70</v>
      </c>
      <c r="J5" s="99">
        <v>70</v>
      </c>
      <c r="K5" s="99">
        <f>H5</f>
        <v>70</v>
      </c>
      <c r="L5" s="88" t="s">
        <v>145</v>
      </c>
      <c r="M5" s="137"/>
      <c r="N5" s="138"/>
      <c r="O5" s="138"/>
      <c r="P5" s="139"/>
      <c r="Q5" s="138"/>
      <c r="R5" s="140"/>
      <c r="S5" s="138"/>
      <c r="T5" s="141"/>
      <c r="V5" s="391"/>
      <c r="W5" s="131"/>
      <c r="X5" s="131"/>
      <c r="Y5" s="394"/>
    </row>
    <row r="6" spans="1:26" ht="15.6" customHeight="1" x14ac:dyDescent="0.25">
      <c r="A6" s="132" t="s">
        <v>89</v>
      </c>
      <c r="B6" s="134" t="s">
        <v>56</v>
      </c>
      <c r="C6" s="99"/>
      <c r="D6" s="100">
        <f>'na data'!B5</f>
        <v>375.36</v>
      </c>
      <c r="E6" s="100">
        <f>'na data'!B6</f>
        <v>375.36</v>
      </c>
      <c r="F6" s="100">
        <v>382.87</v>
      </c>
      <c r="G6" s="100">
        <v>390.53</v>
      </c>
      <c r="H6" s="101">
        <v>390.53</v>
      </c>
      <c r="I6" s="101">
        <v>398.34059999999999</v>
      </c>
      <c r="J6" s="101">
        <v>406.307412</v>
      </c>
      <c r="K6" s="99">
        <f>J6*1.02</f>
        <v>414.43356024000002</v>
      </c>
      <c r="L6" s="50">
        <v>0.03</v>
      </c>
      <c r="M6" s="142"/>
      <c r="N6" s="143"/>
      <c r="O6" s="143"/>
      <c r="P6" s="144"/>
      <c r="Q6" s="143"/>
      <c r="R6" s="49"/>
      <c r="S6" s="143"/>
      <c r="T6" s="145"/>
      <c r="V6" s="391"/>
      <c r="W6" s="131"/>
      <c r="X6" s="131"/>
      <c r="Y6" s="394"/>
    </row>
    <row r="7" spans="1:26" ht="78.75" x14ac:dyDescent="0.25">
      <c r="B7" s="146"/>
      <c r="C7" s="102" t="s">
        <v>292</v>
      </c>
      <c r="D7" s="102" t="s">
        <v>140</v>
      </c>
      <c r="E7" s="103" t="s">
        <v>296</v>
      </c>
      <c r="F7" s="103" t="s">
        <v>460</v>
      </c>
      <c r="G7" s="102" t="s">
        <v>465</v>
      </c>
      <c r="H7" s="102" t="s">
        <v>297</v>
      </c>
      <c r="I7" s="102" t="s">
        <v>505</v>
      </c>
      <c r="J7" s="102" t="s">
        <v>464</v>
      </c>
      <c r="K7" s="147" t="s">
        <v>502</v>
      </c>
      <c r="L7" s="148" t="s">
        <v>503</v>
      </c>
      <c r="M7" s="149" t="s">
        <v>155</v>
      </c>
      <c r="N7" s="150" t="s">
        <v>80</v>
      </c>
      <c r="O7" s="150" t="s">
        <v>81</v>
      </c>
      <c r="P7" s="151" t="s">
        <v>82</v>
      </c>
      <c r="Q7" s="150" t="s">
        <v>141</v>
      </c>
      <c r="R7" s="152" t="s">
        <v>142</v>
      </c>
      <c r="S7" s="150" t="s">
        <v>143</v>
      </c>
      <c r="T7" s="153" t="s">
        <v>144</v>
      </c>
      <c r="U7" s="390" t="s">
        <v>519</v>
      </c>
      <c r="V7" s="392" t="s">
        <v>520</v>
      </c>
      <c r="W7" s="131"/>
      <c r="X7" s="131"/>
      <c r="Y7" s="394"/>
    </row>
    <row r="8" spans="1:26" ht="15.6" customHeight="1" x14ac:dyDescent="0.25">
      <c r="B8" s="155"/>
      <c r="C8" s="104"/>
      <c r="D8" s="104"/>
      <c r="E8" s="104" t="s">
        <v>346</v>
      </c>
      <c r="F8" s="211"/>
      <c r="G8" s="105"/>
      <c r="H8" s="104"/>
      <c r="I8" s="104" t="s">
        <v>346</v>
      </c>
      <c r="J8" s="104" t="s">
        <v>346</v>
      </c>
      <c r="K8" s="48" t="s">
        <v>346</v>
      </c>
      <c r="L8" s="156"/>
      <c r="M8" s="142"/>
      <c r="N8" s="143"/>
      <c r="O8" s="143"/>
      <c r="P8" s="144"/>
      <c r="Q8" s="143"/>
      <c r="R8" s="49"/>
      <c r="S8" s="143"/>
      <c r="T8" s="145"/>
      <c r="V8" s="391"/>
      <c r="W8" s="131"/>
      <c r="X8" s="131"/>
      <c r="Y8" s="394"/>
    </row>
    <row r="9" spans="1:26" s="162" customFormat="1" x14ac:dyDescent="0.25">
      <c r="A9" s="157">
        <v>3110001</v>
      </c>
      <c r="B9" s="158" t="s">
        <v>77</v>
      </c>
      <c r="C9" s="106"/>
      <c r="D9" s="106" t="e">
        <f>SUMIF(#REF!,A9,#REF!)</f>
        <v>#REF!</v>
      </c>
      <c r="E9" s="106" t="e">
        <f>SUMIF(#REF!,A9,#REF!)</f>
        <v>#REF!</v>
      </c>
      <c r="F9" s="106"/>
      <c r="G9" s="106">
        <f>SUMIF(FY2012AuditReconciliation!$C$5:$C$146,A9,FY2012AuditReconciliation!$K$5:$K$146)</f>
        <v>327043</v>
      </c>
      <c r="H9" s="106">
        <v>328043.016</v>
      </c>
      <c r="I9" s="106">
        <f>SUMIF('actual 2014'!$C$5:$C$121,A9,'actual 2014'!$L$5:$L$121)</f>
        <v>340890</v>
      </c>
      <c r="J9" s="106">
        <v>341298.22607999999</v>
      </c>
      <c r="K9" s="118">
        <f>+K6*K5*12</f>
        <v>348124.19060159998</v>
      </c>
      <c r="L9" s="159">
        <f>IF(K9=0,"",IF(J9=0,100%,(K9-J9)/J9))</f>
        <v>1.9999999999999976E-2</v>
      </c>
      <c r="M9" s="142">
        <f>+$K9/4</f>
        <v>87031.047650399996</v>
      </c>
      <c r="N9" s="142">
        <f>+$K9/4</f>
        <v>87031.047650399996</v>
      </c>
      <c r="O9" s="142">
        <f>+$K9/4</f>
        <v>87031.047650399996</v>
      </c>
      <c r="P9" s="160">
        <f>+$K9/4</f>
        <v>87031.047650399996</v>
      </c>
      <c r="Q9" s="143">
        <f>IF(K9=0,0,K9/$K$5/12)</f>
        <v>414.43356023999996</v>
      </c>
      <c r="R9" s="49">
        <v>348142</v>
      </c>
      <c r="S9" s="143">
        <f>IF(R9=0,0,R9/$K$4/12)</f>
        <v>228.43963254593177</v>
      </c>
      <c r="T9" s="145">
        <f t="shared" ref="T9:T20" si="0">IF(R9=0,0,(K9/R9))</f>
        <v>0.99994884444163579</v>
      </c>
      <c r="U9" s="131"/>
      <c r="V9" s="391"/>
      <c r="W9" s="131"/>
      <c r="X9" s="131"/>
      <c r="Y9" s="394"/>
      <c r="Z9" s="396"/>
    </row>
    <row r="10" spans="1:26" ht="15.6" customHeight="1" x14ac:dyDescent="0.25">
      <c r="A10" s="132">
        <v>3690001.01</v>
      </c>
      <c r="B10" s="158" t="s">
        <v>65</v>
      </c>
      <c r="C10" s="106"/>
      <c r="D10" s="106" t="e">
        <f>SUMIF(#REF!,A10,#REF!)</f>
        <v>#REF!</v>
      </c>
      <c r="E10" s="106" t="e">
        <f>SUMIF(#REF!,A10,#REF!)</f>
        <v>#REF!</v>
      </c>
      <c r="F10" s="106"/>
      <c r="G10" s="106">
        <f>SUMIF(FY2012AuditReconciliation!$C$5:$C$146,A10,FY2012AuditReconciliation!$K$5:$K$146)</f>
        <v>0</v>
      </c>
      <c r="H10" s="106">
        <v>0</v>
      </c>
      <c r="I10" s="106">
        <f>SUMIF('actual 2014'!$C$5:$C$121,A10,'actual 2014'!$L$5:$L$121)</f>
        <v>0</v>
      </c>
      <c r="J10" s="106">
        <v>0</v>
      </c>
      <c r="K10" s="119">
        <f>+'Line Items explanations'!H6</f>
        <v>0</v>
      </c>
      <c r="L10" s="159" t="str">
        <f t="shared" ref="L10:L73" si="1">IF(K10=0,"",IF(J10=0,100%,(K10-J10)/J10))</f>
        <v/>
      </c>
      <c r="M10" s="142">
        <f t="shared" ref="M10:P19" si="2">+$K10/4</f>
        <v>0</v>
      </c>
      <c r="N10" s="142">
        <f t="shared" si="2"/>
        <v>0</v>
      </c>
      <c r="O10" s="142">
        <f t="shared" si="2"/>
        <v>0</v>
      </c>
      <c r="P10" s="160">
        <f t="shared" si="2"/>
        <v>0</v>
      </c>
      <c r="Q10" s="143">
        <f t="shared" ref="Q10:Q19" si="3">IF(K10=0,0,K10/$K$5/12)</f>
        <v>0</v>
      </c>
      <c r="R10" s="49"/>
      <c r="S10" s="143">
        <f t="shared" ref="S10:S19" si="4">IF(R10=0,0,R10/$K$4/12)</f>
        <v>0</v>
      </c>
      <c r="T10" s="145">
        <f t="shared" si="0"/>
        <v>0</v>
      </c>
      <c r="V10" s="391"/>
      <c r="W10" s="131"/>
      <c r="X10" s="131"/>
      <c r="Y10" s="394"/>
    </row>
    <row r="11" spans="1:26" ht="15.6" customHeight="1" x14ac:dyDescent="0.25">
      <c r="A11" s="132">
        <v>3690001.02</v>
      </c>
      <c r="B11" s="158" t="s">
        <v>66</v>
      </c>
      <c r="C11" s="106"/>
      <c r="D11" s="106" t="e">
        <f>SUMIF(#REF!,A11,#REF!)</f>
        <v>#REF!</v>
      </c>
      <c r="E11" s="106" t="e">
        <f>SUMIF(#REF!,A11,#REF!)</f>
        <v>#REF!</v>
      </c>
      <c r="F11" s="106"/>
      <c r="G11" s="106">
        <f>SUMIF(FY2012AuditReconciliation!$C$5:$C$146,A11,FY2012AuditReconciliation!$K$5:$K$146)</f>
        <v>0</v>
      </c>
      <c r="H11" s="106">
        <v>0</v>
      </c>
      <c r="I11" s="106">
        <f>SUMIF('actual 2014'!$C$5:$C$121,A11,'actual 2014'!$L$5:$L$121)</f>
        <v>0</v>
      </c>
      <c r="J11" s="106">
        <v>0</v>
      </c>
      <c r="K11" s="119">
        <f>+'Line Items explanations'!H11</f>
        <v>120</v>
      </c>
      <c r="L11" s="159">
        <f t="shared" si="1"/>
        <v>1</v>
      </c>
      <c r="M11" s="142">
        <f t="shared" si="2"/>
        <v>30</v>
      </c>
      <c r="N11" s="142">
        <f t="shared" si="2"/>
        <v>30</v>
      </c>
      <c r="O11" s="142">
        <f t="shared" si="2"/>
        <v>30</v>
      </c>
      <c r="P11" s="160">
        <f t="shared" si="2"/>
        <v>30</v>
      </c>
      <c r="Q11" s="143">
        <f t="shared" si="3"/>
        <v>0.14285714285714285</v>
      </c>
      <c r="R11" s="49"/>
      <c r="S11" s="143">
        <f t="shared" si="4"/>
        <v>0</v>
      </c>
      <c r="T11" s="145">
        <f t="shared" si="0"/>
        <v>0</v>
      </c>
      <c r="V11" s="391"/>
      <c r="W11" s="131"/>
      <c r="X11" s="131"/>
      <c r="Y11" s="394"/>
    </row>
    <row r="12" spans="1:26" ht="15.6" customHeight="1" x14ac:dyDescent="0.25">
      <c r="A12" s="132">
        <v>3110001.01</v>
      </c>
      <c r="B12" s="158" t="s">
        <v>83</v>
      </c>
      <c r="C12" s="106"/>
      <c r="D12" s="106" t="e">
        <f>SUMIF(#REF!,A12,#REF!)</f>
        <v>#REF!</v>
      </c>
      <c r="E12" s="106" t="e">
        <f>SUMIF(#REF!,A12,#REF!)</f>
        <v>#REF!</v>
      </c>
      <c r="F12" s="106"/>
      <c r="G12" s="106">
        <f>SUMIF(FY2012AuditReconciliation!$C$5:$C$146,A12,FY2012AuditReconciliation!$K$5:$K$146)</f>
        <v>0</v>
      </c>
      <c r="H12" s="106">
        <v>0</v>
      </c>
      <c r="I12" s="106">
        <f>SUMIF('actual 2014'!$C$5:$C$121,A12,'actual 2014'!$L$5:$L$121)</f>
        <v>761899</v>
      </c>
      <c r="J12" s="106">
        <v>0</v>
      </c>
      <c r="K12" s="119">
        <f>+'Line Items explanations'!H16</f>
        <v>36900</v>
      </c>
      <c r="L12" s="159">
        <f t="shared" si="1"/>
        <v>1</v>
      </c>
      <c r="M12" s="142">
        <f t="shared" si="2"/>
        <v>9225</v>
      </c>
      <c r="N12" s="142">
        <f t="shared" si="2"/>
        <v>9225</v>
      </c>
      <c r="O12" s="142">
        <f t="shared" si="2"/>
        <v>9225</v>
      </c>
      <c r="P12" s="160">
        <f t="shared" si="2"/>
        <v>9225</v>
      </c>
      <c r="Q12" s="143">
        <f t="shared" si="3"/>
        <v>43.928571428571423</v>
      </c>
      <c r="R12" s="49"/>
      <c r="S12" s="143">
        <f t="shared" si="4"/>
        <v>0</v>
      </c>
      <c r="T12" s="145">
        <f t="shared" si="0"/>
        <v>0</v>
      </c>
      <c r="V12" s="391"/>
      <c r="W12" s="131"/>
      <c r="X12" s="131"/>
      <c r="Y12" s="394"/>
    </row>
    <row r="13" spans="1:26" x14ac:dyDescent="0.25">
      <c r="A13" s="132">
        <v>3690001.04</v>
      </c>
      <c r="B13" s="158" t="s">
        <v>84</v>
      </c>
      <c r="C13" s="106"/>
      <c r="D13" s="106" t="e">
        <f>SUMIF(#REF!,A13,#REF!)</f>
        <v>#REF!</v>
      </c>
      <c r="E13" s="106" t="e">
        <f>SUMIF(#REF!,A13,#REF!)</f>
        <v>#REF!</v>
      </c>
      <c r="F13" s="106"/>
      <c r="G13" s="106">
        <f>SUMIF(FY2012AuditReconciliation!$C$5:$C$146,A13,FY2012AuditReconciliation!$K$5:$K$146)</f>
        <v>0</v>
      </c>
      <c r="H13" s="106">
        <v>1100</v>
      </c>
      <c r="I13" s="106">
        <f>SUMIF('actual 2014'!$C$5:$C$121,A13,'actual 2014'!$L$5:$L$121)</f>
        <v>0</v>
      </c>
      <c r="J13" s="106">
        <v>1650</v>
      </c>
      <c r="K13" s="119">
        <f>+'Line Items explanations'!H21</f>
        <v>0</v>
      </c>
      <c r="L13" s="159" t="str">
        <f t="shared" si="1"/>
        <v/>
      </c>
      <c r="M13" s="142">
        <f t="shared" si="2"/>
        <v>0</v>
      </c>
      <c r="N13" s="142">
        <f t="shared" si="2"/>
        <v>0</v>
      </c>
      <c r="O13" s="142">
        <f t="shared" si="2"/>
        <v>0</v>
      </c>
      <c r="P13" s="160">
        <f t="shared" si="2"/>
        <v>0</v>
      </c>
      <c r="Q13" s="143">
        <f t="shared" si="3"/>
        <v>0</v>
      </c>
      <c r="R13" s="49">
        <v>3500</v>
      </c>
      <c r="S13" s="143">
        <f t="shared" si="4"/>
        <v>2.2965879265091864</v>
      </c>
      <c r="T13" s="145">
        <f t="shared" si="0"/>
        <v>0</v>
      </c>
      <c r="V13" s="391"/>
      <c r="W13" s="131"/>
      <c r="X13" s="131"/>
      <c r="Y13" s="394"/>
    </row>
    <row r="14" spans="1:26" x14ac:dyDescent="0.25">
      <c r="A14" s="132">
        <v>3690001.05</v>
      </c>
      <c r="B14" s="158" t="s">
        <v>91</v>
      </c>
      <c r="C14" s="106"/>
      <c r="D14" s="106" t="e">
        <f>SUMIF(#REF!,A14,#REF!)</f>
        <v>#REF!</v>
      </c>
      <c r="E14" s="106" t="e">
        <f>SUMIF(#REF!,A14,#REF!)</f>
        <v>#REF!</v>
      </c>
      <c r="F14" s="106"/>
      <c r="G14" s="106">
        <f>SUMIF(FY2012AuditReconciliation!$C$5:$C$146,A14,FY2012AuditReconciliation!$K$5:$K$146)</f>
        <v>0</v>
      </c>
      <c r="H14" s="106">
        <v>0</v>
      </c>
      <c r="I14" s="106">
        <f>SUMIF('actual 2014'!$C$5:$C$121,A14,'actual 2014'!$L$5:$L$121)</f>
        <v>0</v>
      </c>
      <c r="J14" s="106">
        <v>0</v>
      </c>
      <c r="K14" s="119" t="e">
        <f>+'Line Items explanations'!#REF!</f>
        <v>#REF!</v>
      </c>
      <c r="L14" s="159" t="e">
        <f t="shared" si="1"/>
        <v>#REF!</v>
      </c>
      <c r="M14" s="142" t="e">
        <f t="shared" si="2"/>
        <v>#REF!</v>
      </c>
      <c r="N14" s="142" t="e">
        <f t="shared" si="2"/>
        <v>#REF!</v>
      </c>
      <c r="O14" s="142" t="e">
        <f t="shared" si="2"/>
        <v>#REF!</v>
      </c>
      <c r="P14" s="160" t="e">
        <f t="shared" si="2"/>
        <v>#REF!</v>
      </c>
      <c r="Q14" s="143" t="e">
        <f t="shared" si="3"/>
        <v>#REF!</v>
      </c>
      <c r="R14" s="49"/>
      <c r="S14" s="143">
        <f t="shared" si="4"/>
        <v>0</v>
      </c>
      <c r="T14" s="145">
        <f t="shared" si="0"/>
        <v>0</v>
      </c>
      <c r="V14" s="391"/>
      <c r="W14" s="131"/>
      <c r="X14" s="131"/>
      <c r="Y14" s="394"/>
    </row>
    <row r="15" spans="1:26" x14ac:dyDescent="0.25">
      <c r="A15" s="132">
        <v>3690001.06</v>
      </c>
      <c r="B15" s="158" t="s">
        <v>92</v>
      </c>
      <c r="C15" s="106"/>
      <c r="D15" s="106" t="e">
        <f>SUMIF(#REF!,A15,#REF!)</f>
        <v>#REF!</v>
      </c>
      <c r="E15" s="106" t="e">
        <f>SUMIF(#REF!,A15,#REF!)</f>
        <v>#REF!</v>
      </c>
      <c r="F15" s="106"/>
      <c r="G15" s="106">
        <f>SUMIF(FY2012AuditReconciliation!$C$5:$C$146,A15,FY2012AuditReconciliation!$K$5:$K$146)</f>
        <v>0</v>
      </c>
      <c r="H15" s="106">
        <v>0</v>
      </c>
      <c r="I15" s="106">
        <f>SUMIF('actual 2014'!$C$5:$C$121,A15,'actual 2014'!$L$5:$L$121)</f>
        <v>0</v>
      </c>
      <c r="J15" s="106">
        <v>0</v>
      </c>
      <c r="K15" s="119" t="e">
        <f>+'Line Items explanations'!#REF!</f>
        <v>#REF!</v>
      </c>
      <c r="L15" s="159" t="e">
        <f t="shared" si="1"/>
        <v>#REF!</v>
      </c>
      <c r="M15" s="142" t="e">
        <f t="shared" si="2"/>
        <v>#REF!</v>
      </c>
      <c r="N15" s="142" t="e">
        <f t="shared" si="2"/>
        <v>#REF!</v>
      </c>
      <c r="O15" s="142" t="e">
        <f t="shared" si="2"/>
        <v>#REF!</v>
      </c>
      <c r="P15" s="160" t="e">
        <f t="shared" si="2"/>
        <v>#REF!</v>
      </c>
      <c r="Q15" s="143" t="e">
        <f t="shared" si="3"/>
        <v>#REF!</v>
      </c>
      <c r="R15" s="49"/>
      <c r="S15" s="143">
        <f t="shared" si="4"/>
        <v>0</v>
      </c>
      <c r="T15" s="145">
        <f t="shared" si="0"/>
        <v>0</v>
      </c>
      <c r="V15" s="391"/>
      <c r="W15" s="131"/>
      <c r="X15" s="131"/>
      <c r="Y15" s="394"/>
    </row>
    <row r="16" spans="1:26" x14ac:dyDescent="0.25">
      <c r="A16" s="132">
        <v>3690001.07</v>
      </c>
      <c r="B16" s="158" t="s">
        <v>114</v>
      </c>
      <c r="C16" s="106"/>
      <c r="D16" s="106" t="e">
        <f>SUMIF(#REF!,A16,#REF!)</f>
        <v>#REF!</v>
      </c>
      <c r="E16" s="106" t="e">
        <f>SUMIF(#REF!,A16,#REF!)</f>
        <v>#REF!</v>
      </c>
      <c r="F16" s="106"/>
      <c r="G16" s="106">
        <f>SUMIF(FY2012AuditReconciliation!$C$5:$C$146,A16,FY2012AuditReconciliation!$K$5:$K$146)</f>
        <v>0</v>
      </c>
      <c r="H16" s="106">
        <v>0</v>
      </c>
      <c r="I16" s="106">
        <f>SUMIF('actual 2014'!$C$5:$C$121,A16,'actual 2014'!$L$5:$L$121)</f>
        <v>0</v>
      </c>
      <c r="J16" s="106">
        <v>0</v>
      </c>
      <c r="K16" s="119" t="e">
        <f>+'Line Items explanations'!#REF!</f>
        <v>#REF!</v>
      </c>
      <c r="L16" s="159" t="e">
        <f t="shared" si="1"/>
        <v>#REF!</v>
      </c>
      <c r="M16" s="142" t="e">
        <f t="shared" si="2"/>
        <v>#REF!</v>
      </c>
      <c r="N16" s="142" t="e">
        <f t="shared" si="2"/>
        <v>#REF!</v>
      </c>
      <c r="O16" s="142" t="e">
        <f t="shared" si="2"/>
        <v>#REF!</v>
      </c>
      <c r="P16" s="160" t="e">
        <f t="shared" si="2"/>
        <v>#REF!</v>
      </c>
      <c r="Q16" s="143" t="e">
        <f t="shared" si="3"/>
        <v>#REF!</v>
      </c>
      <c r="R16" s="49"/>
      <c r="S16" s="143">
        <f t="shared" si="4"/>
        <v>0</v>
      </c>
      <c r="T16" s="145">
        <f t="shared" si="0"/>
        <v>0</v>
      </c>
      <c r="V16" s="391"/>
      <c r="W16" s="131"/>
      <c r="X16" s="131"/>
      <c r="Y16" s="394"/>
    </row>
    <row r="17" spans="1:26" x14ac:dyDescent="0.25">
      <c r="A17" s="132">
        <v>3690001.08</v>
      </c>
      <c r="B17" s="158" t="s">
        <v>345</v>
      </c>
      <c r="C17" s="106"/>
      <c r="D17" s="106" t="e">
        <f>SUMIF(#REF!,A17,#REF!)</f>
        <v>#REF!</v>
      </c>
      <c r="E17" s="106" t="e">
        <f>SUMIF(#REF!,A17,#REF!)</f>
        <v>#REF!</v>
      </c>
      <c r="F17" s="106"/>
      <c r="G17" s="106">
        <f>SUMIF(FY2012AuditReconciliation!$C$5:$C$146,A17,FY2012AuditReconciliation!$K$5:$K$146)</f>
        <v>2231</v>
      </c>
      <c r="H17" s="106">
        <v>413</v>
      </c>
      <c r="I17" s="106">
        <f>SUMIF('actual 2014'!$C$5:$C$121,A17,'actual 2014'!$L$5:$L$121)</f>
        <v>15132</v>
      </c>
      <c r="J17" s="106">
        <v>276</v>
      </c>
      <c r="K17" s="119">
        <f>+'Line Items explanations'!H26</f>
        <v>0</v>
      </c>
      <c r="L17" s="159" t="str">
        <f t="shared" si="1"/>
        <v/>
      </c>
      <c r="M17" s="142">
        <f t="shared" si="2"/>
        <v>0</v>
      </c>
      <c r="N17" s="142">
        <f t="shared" si="2"/>
        <v>0</v>
      </c>
      <c r="O17" s="142">
        <f t="shared" si="2"/>
        <v>0</v>
      </c>
      <c r="P17" s="160">
        <f t="shared" si="2"/>
        <v>0</v>
      </c>
      <c r="Q17" s="143">
        <f t="shared" si="3"/>
        <v>0</v>
      </c>
      <c r="R17" s="49">
        <v>300</v>
      </c>
      <c r="S17" s="143">
        <f t="shared" si="4"/>
        <v>0.19685039370078738</v>
      </c>
      <c r="T17" s="145">
        <f t="shared" si="0"/>
        <v>0</v>
      </c>
      <c r="V17" s="391"/>
      <c r="W17" s="131"/>
      <c r="X17" s="131"/>
      <c r="Y17" s="394"/>
    </row>
    <row r="18" spans="1:26" x14ac:dyDescent="0.25">
      <c r="A18" s="132">
        <v>3690001.09</v>
      </c>
      <c r="B18" s="158" t="s">
        <v>53</v>
      </c>
      <c r="C18" s="106"/>
      <c r="D18" s="106" t="e">
        <f>SUMIF(#REF!,A18,#REF!)</f>
        <v>#REF!</v>
      </c>
      <c r="E18" s="106" t="e">
        <f>SUMIF(#REF!,A18,#REF!)</f>
        <v>#REF!</v>
      </c>
      <c r="F18" s="106"/>
      <c r="G18" s="106">
        <f>SUMIF(FY2012AuditReconciliation!$C$5:$C$146,A18,FY2012AuditReconciliation!$K$5:$K$146)</f>
        <v>0</v>
      </c>
      <c r="H18" s="106">
        <v>0</v>
      </c>
      <c r="I18" s="106">
        <f>SUMIF('actual 2014'!$C$5:$C$121,A18,'actual 2014'!$L$5:$L$121)</f>
        <v>0</v>
      </c>
      <c r="J18" s="106">
        <v>0</v>
      </c>
      <c r="K18" s="48">
        <v>0</v>
      </c>
      <c r="L18" s="159" t="str">
        <f t="shared" si="1"/>
        <v/>
      </c>
      <c r="M18" s="142">
        <f t="shared" si="2"/>
        <v>0</v>
      </c>
      <c r="N18" s="142">
        <f t="shared" si="2"/>
        <v>0</v>
      </c>
      <c r="O18" s="142">
        <f t="shared" si="2"/>
        <v>0</v>
      </c>
      <c r="P18" s="160">
        <f t="shared" si="2"/>
        <v>0</v>
      </c>
      <c r="Q18" s="143">
        <f t="shared" si="3"/>
        <v>0</v>
      </c>
      <c r="R18" s="49"/>
      <c r="S18" s="143">
        <f t="shared" si="4"/>
        <v>0</v>
      </c>
      <c r="T18" s="145">
        <f t="shared" si="0"/>
        <v>0</v>
      </c>
      <c r="V18" s="391"/>
      <c r="W18" s="131"/>
      <c r="X18" s="131"/>
      <c r="Y18" s="394"/>
    </row>
    <row r="19" spans="1:26" x14ac:dyDescent="0.25">
      <c r="A19" s="132">
        <v>3690001.1</v>
      </c>
      <c r="B19" s="158" t="s">
        <v>53</v>
      </c>
      <c r="C19" s="106"/>
      <c r="D19" s="106" t="e">
        <f>SUMIF(#REF!,A19,#REF!)</f>
        <v>#REF!</v>
      </c>
      <c r="E19" s="106" t="e">
        <f>SUMIF(#REF!,A19,#REF!)</f>
        <v>#REF!</v>
      </c>
      <c r="F19" s="106"/>
      <c r="G19" s="106"/>
      <c r="H19" s="106">
        <v>0</v>
      </c>
      <c r="I19" s="106">
        <f>SUMIF('actual 2014'!$C$5:$C$121,A19,'actual 2014'!$L$5:$L$121)</f>
        <v>0</v>
      </c>
      <c r="J19" s="106">
        <v>0</v>
      </c>
      <c r="K19" s="48">
        <v>0</v>
      </c>
      <c r="L19" s="159" t="str">
        <f t="shared" si="1"/>
        <v/>
      </c>
      <c r="M19" s="142">
        <f t="shared" si="2"/>
        <v>0</v>
      </c>
      <c r="N19" s="142">
        <f t="shared" si="2"/>
        <v>0</v>
      </c>
      <c r="O19" s="142">
        <f t="shared" si="2"/>
        <v>0</v>
      </c>
      <c r="P19" s="160">
        <f t="shared" si="2"/>
        <v>0</v>
      </c>
      <c r="Q19" s="143">
        <f t="shared" si="3"/>
        <v>0</v>
      </c>
      <c r="R19" s="49"/>
      <c r="S19" s="143">
        <f t="shared" si="4"/>
        <v>0</v>
      </c>
      <c r="T19" s="145">
        <f t="shared" si="0"/>
        <v>0</v>
      </c>
      <c r="V19" s="391"/>
      <c r="W19" s="131"/>
      <c r="X19" s="131"/>
      <c r="Y19" s="394"/>
    </row>
    <row r="20" spans="1:26" s="167" customFormat="1" x14ac:dyDescent="0.25">
      <c r="A20" s="163" t="s">
        <v>95</v>
      </c>
      <c r="B20" s="164" t="s">
        <v>79</v>
      </c>
      <c r="C20" s="107">
        <f t="shared" ref="C20:S20" si="5">SUM(C9:C19)</f>
        <v>0</v>
      </c>
      <c r="D20" s="107" t="e">
        <f t="shared" si="5"/>
        <v>#REF!</v>
      </c>
      <c r="E20" s="107" t="e">
        <f t="shared" si="5"/>
        <v>#REF!</v>
      </c>
      <c r="F20" s="107"/>
      <c r="G20" s="107">
        <f t="shared" si="5"/>
        <v>329274</v>
      </c>
      <c r="H20" s="107">
        <f>SUM(H9:H19)</f>
        <v>329556.016</v>
      </c>
      <c r="I20" s="120">
        <f>SUM(I9:I19)</f>
        <v>1117921</v>
      </c>
      <c r="J20" s="120">
        <f>SUM(J9:J19)</f>
        <v>343224.22607999999</v>
      </c>
      <c r="K20" s="120" t="e">
        <f>SUM(K9:K19)</f>
        <v>#REF!</v>
      </c>
      <c r="L20" s="352" t="e">
        <f t="shared" si="1"/>
        <v>#REF!</v>
      </c>
      <c r="M20" s="107" t="e">
        <f t="shared" si="5"/>
        <v>#REF!</v>
      </c>
      <c r="N20" s="107" t="e">
        <f t="shared" si="5"/>
        <v>#REF!</v>
      </c>
      <c r="O20" s="107" t="e">
        <f t="shared" si="5"/>
        <v>#REF!</v>
      </c>
      <c r="P20" s="165" t="e">
        <f t="shared" si="5"/>
        <v>#REF!</v>
      </c>
      <c r="Q20" s="165" t="e">
        <f t="shared" si="5"/>
        <v>#REF!</v>
      </c>
      <c r="R20" s="107">
        <f t="shared" si="5"/>
        <v>351942</v>
      </c>
      <c r="S20" s="107">
        <f t="shared" si="5"/>
        <v>230.93307086614175</v>
      </c>
      <c r="T20" s="166" t="e">
        <f t="shared" si="0"/>
        <v>#REF!</v>
      </c>
      <c r="U20" s="354"/>
      <c r="V20" s="391"/>
      <c r="W20" s="154"/>
      <c r="X20" s="154"/>
      <c r="Y20" s="397"/>
      <c r="Z20" s="398"/>
    </row>
    <row r="21" spans="1:26" x14ac:dyDescent="0.25">
      <c r="B21" s="168" t="s">
        <v>57</v>
      </c>
      <c r="C21" s="108"/>
      <c r="D21" s="108"/>
      <c r="E21" s="108"/>
      <c r="F21" s="108"/>
      <c r="G21" s="108"/>
      <c r="H21" s="108"/>
      <c r="I21" s="108"/>
      <c r="J21" s="108"/>
      <c r="K21" s="169"/>
      <c r="L21" s="159" t="str">
        <f t="shared" si="1"/>
        <v/>
      </c>
      <c r="M21" s="170"/>
      <c r="N21" s="170"/>
      <c r="O21" s="170"/>
      <c r="P21" s="171"/>
      <c r="Q21" s="170"/>
      <c r="R21" s="172"/>
      <c r="S21" s="170"/>
      <c r="T21" s="173"/>
      <c r="V21" s="391"/>
      <c r="W21" s="131"/>
      <c r="X21" s="131"/>
      <c r="Y21" s="394"/>
    </row>
    <row r="22" spans="1:26" x14ac:dyDescent="0.25">
      <c r="B22" s="174" t="s">
        <v>0</v>
      </c>
      <c r="C22" s="109"/>
      <c r="D22" s="109"/>
      <c r="E22" s="109"/>
      <c r="F22" s="109"/>
      <c r="G22" s="109"/>
      <c r="H22" s="109"/>
      <c r="I22" s="109"/>
      <c r="J22" s="109"/>
      <c r="K22" s="175"/>
      <c r="L22" s="159" t="str">
        <f t="shared" si="1"/>
        <v/>
      </c>
      <c r="M22" s="142"/>
      <c r="N22" s="142"/>
      <c r="O22" s="142"/>
      <c r="P22" s="160"/>
      <c r="Q22" s="170"/>
      <c r="R22" s="172"/>
      <c r="S22" s="170"/>
      <c r="T22" s="173"/>
      <c r="V22" s="391"/>
      <c r="W22" s="131"/>
      <c r="X22" s="131"/>
      <c r="Y22" s="394"/>
    </row>
    <row r="23" spans="1:26" x14ac:dyDescent="0.25">
      <c r="A23" s="132">
        <v>4110001.01</v>
      </c>
      <c r="B23" s="176" t="s">
        <v>1</v>
      </c>
      <c r="C23" s="106"/>
      <c r="D23" s="106" t="e">
        <f>SUMIF(#REF!,A23,#REF!)</f>
        <v>#REF!</v>
      </c>
      <c r="E23" s="106" t="e">
        <f>SUMIF(#REF!,A23,#REF!)</f>
        <v>#REF!</v>
      </c>
      <c r="F23" s="106"/>
      <c r="G23" s="106">
        <f>SUMIF(FY2012AuditReconciliation!$C$5:$C$146,A23,FY2012AuditReconciliation!$K$5:$K$146)</f>
        <v>44930</v>
      </c>
      <c r="H23" s="106">
        <v>39321</v>
      </c>
      <c r="I23" s="106">
        <f>SUMIF('actual 2014'!$C$5:$C$121,A23,'actual 2014'!$L$5:$L$121)</f>
        <v>76695</v>
      </c>
      <c r="J23" s="106">
        <v>51170.350000000006</v>
      </c>
      <c r="K23" s="119">
        <f>+'Compensation Details'!F13</f>
        <v>0</v>
      </c>
      <c r="L23" s="159" t="str">
        <f t="shared" si="1"/>
        <v/>
      </c>
      <c r="M23" s="142">
        <f t="shared" ref="M23:P49" si="6">+$K23/4</f>
        <v>0</v>
      </c>
      <c r="N23" s="142">
        <f t="shared" si="6"/>
        <v>0</v>
      </c>
      <c r="O23" s="142">
        <f t="shared" si="6"/>
        <v>0</v>
      </c>
      <c r="P23" s="160">
        <f t="shared" si="6"/>
        <v>0</v>
      </c>
      <c r="Q23" s="143">
        <f t="shared" ref="Q23:Q49" si="7">IF(K23=0,0,K23/$K$5/12)</f>
        <v>0</v>
      </c>
      <c r="R23" s="49">
        <v>91809</v>
      </c>
      <c r="S23" s="143">
        <f t="shared" ref="S23:S49" si="8">IF(R23=0,0,R23/$K$4/12)</f>
        <v>60.24212598425197</v>
      </c>
      <c r="T23" s="145">
        <f t="shared" ref="T23:T50" si="9">IF(R23=0,0,(K23/R23))</f>
        <v>0</v>
      </c>
      <c r="V23" s="391"/>
      <c r="W23" s="131"/>
      <c r="X23" s="131"/>
      <c r="Y23" s="394"/>
    </row>
    <row r="24" spans="1:26" ht="110.25" x14ac:dyDescent="0.25">
      <c r="A24" s="132">
        <v>4110001.02</v>
      </c>
      <c r="B24" s="176" t="s">
        <v>2</v>
      </c>
      <c r="C24" s="106"/>
      <c r="D24" s="106" t="e">
        <f>SUMIF(#REF!,A24,#REF!)</f>
        <v>#REF!</v>
      </c>
      <c r="E24" s="106" t="e">
        <f>SUMIF(#REF!,A24,#REF!)</f>
        <v>#REF!</v>
      </c>
      <c r="F24" s="106"/>
      <c r="G24" s="106">
        <f>SUMIF(FY2012AuditReconciliation!$C$5:$C$146,A24,FY2012AuditReconciliation!$K$5:$K$146)</f>
        <v>24970</v>
      </c>
      <c r="H24" s="106">
        <v>25168</v>
      </c>
      <c r="I24" s="106">
        <f>SUMIF('actual 2014'!$C$5:$C$121,A24,'actual 2014'!$L$5:$L$121)</f>
        <v>33369</v>
      </c>
      <c r="J24" s="106">
        <v>18582.300000000003</v>
      </c>
      <c r="K24" s="119">
        <f>+'Compensation Details'!F20</f>
        <v>8000</v>
      </c>
      <c r="L24" s="159">
        <f t="shared" si="1"/>
        <v>-0.56948278738369318</v>
      </c>
      <c r="M24" s="142">
        <f t="shared" si="6"/>
        <v>2000</v>
      </c>
      <c r="N24" s="142">
        <f t="shared" si="6"/>
        <v>2000</v>
      </c>
      <c r="O24" s="142">
        <f t="shared" si="6"/>
        <v>2000</v>
      </c>
      <c r="P24" s="160">
        <f t="shared" si="6"/>
        <v>2000</v>
      </c>
      <c r="Q24" s="143">
        <f t="shared" si="7"/>
        <v>9.5238095238095237</v>
      </c>
      <c r="R24" s="49">
        <v>36101</v>
      </c>
      <c r="S24" s="143">
        <f t="shared" si="8"/>
        <v>23.688320209973753</v>
      </c>
      <c r="T24" s="145">
        <f t="shared" si="9"/>
        <v>0.22160050968117226</v>
      </c>
      <c r="U24" s="354" t="s">
        <v>509</v>
      </c>
      <c r="V24" s="391" t="s">
        <v>524</v>
      </c>
      <c r="W24" s="131"/>
      <c r="X24" s="131"/>
      <c r="Y24" s="394"/>
    </row>
    <row r="25" spans="1:26" x14ac:dyDescent="0.25">
      <c r="A25" s="132">
        <v>4190001.01</v>
      </c>
      <c r="B25" s="176" t="s">
        <v>3</v>
      </c>
      <c r="C25" s="106"/>
      <c r="D25" s="106" t="e">
        <f>SUMIF(#REF!,A25,#REF!)</f>
        <v>#REF!</v>
      </c>
      <c r="E25" s="106" t="e">
        <f>SUMIF(#REF!,A25,#REF!)</f>
        <v>#REF!</v>
      </c>
      <c r="F25" s="106"/>
      <c r="G25" s="106">
        <f>SUMIF(FY2012AuditReconciliation!$C$5:$C$146,A25,FY2012AuditReconciliation!$K$5:$K$146)</f>
        <v>3541</v>
      </c>
      <c r="H25" s="106">
        <v>3375</v>
      </c>
      <c r="I25" s="106">
        <f>SUMIF('actual 2014'!$C$5:$C$121,A25,'actual 2014'!$L$5:$L$121)</f>
        <v>8255</v>
      </c>
      <c r="J25" s="106">
        <v>3575</v>
      </c>
      <c r="K25" s="119">
        <f>+'Line Items explanations'!H37</f>
        <v>75</v>
      </c>
      <c r="L25" s="159">
        <f t="shared" si="1"/>
        <v>-0.97902097902097907</v>
      </c>
      <c r="M25" s="142">
        <f t="shared" si="6"/>
        <v>18.75</v>
      </c>
      <c r="N25" s="142">
        <f t="shared" si="6"/>
        <v>18.75</v>
      </c>
      <c r="O25" s="142">
        <f t="shared" si="6"/>
        <v>18.75</v>
      </c>
      <c r="P25" s="160">
        <f t="shared" si="6"/>
        <v>18.75</v>
      </c>
      <c r="Q25" s="143">
        <f t="shared" si="7"/>
        <v>8.9285714285714288E-2</v>
      </c>
      <c r="R25" s="49">
        <v>6750</v>
      </c>
      <c r="S25" s="143">
        <f t="shared" si="8"/>
        <v>4.4291338582677167</v>
      </c>
      <c r="T25" s="145">
        <f t="shared" si="9"/>
        <v>1.1111111111111112E-2</v>
      </c>
      <c r="V25" s="391"/>
      <c r="W25" s="131"/>
      <c r="X25" s="131"/>
      <c r="Y25" s="394"/>
    </row>
    <row r="26" spans="1:26" x14ac:dyDescent="0.25">
      <c r="A26" s="132">
        <v>4190011.02</v>
      </c>
      <c r="B26" s="176" t="s">
        <v>85</v>
      </c>
      <c r="C26" s="106"/>
      <c r="D26" s="106" t="e">
        <f>SUMIF(#REF!,A26,#REF!)</f>
        <v>#REF!</v>
      </c>
      <c r="E26" s="106" t="e">
        <f>SUMIF(#REF!,A26,#REF!)</f>
        <v>#REF!</v>
      </c>
      <c r="F26" s="106"/>
      <c r="G26" s="106">
        <f>SUMIF(FY2012AuditReconciliation!$C$5:$C$146,A26,FY2012AuditReconciliation!$K$5:$K$146)</f>
        <v>1403</v>
      </c>
      <c r="H26" s="106">
        <v>2498</v>
      </c>
      <c r="I26" s="106">
        <f>SUMIF('actual 2014'!$C$5:$C$121,A26,'actual 2014'!$L$5:$L$121)</f>
        <v>3447</v>
      </c>
      <c r="J26" s="106">
        <v>3575</v>
      </c>
      <c r="K26" s="119">
        <f>+'Line Items explanations'!H52</f>
        <v>0</v>
      </c>
      <c r="L26" s="159" t="str">
        <f t="shared" si="1"/>
        <v/>
      </c>
      <c r="M26" s="142">
        <f t="shared" si="6"/>
        <v>0</v>
      </c>
      <c r="N26" s="142">
        <f t="shared" si="6"/>
        <v>0</v>
      </c>
      <c r="O26" s="142">
        <f t="shared" si="6"/>
        <v>0</v>
      </c>
      <c r="P26" s="160">
        <f t="shared" si="6"/>
        <v>0</v>
      </c>
      <c r="Q26" s="143">
        <f t="shared" si="7"/>
        <v>0</v>
      </c>
      <c r="R26" s="49">
        <v>6500</v>
      </c>
      <c r="S26" s="143">
        <f t="shared" si="8"/>
        <v>4.2650918635170605</v>
      </c>
      <c r="T26" s="145">
        <f t="shared" si="9"/>
        <v>0</v>
      </c>
      <c r="V26" s="391"/>
      <c r="W26" s="131"/>
      <c r="X26" s="131"/>
      <c r="Y26" s="394"/>
    </row>
    <row r="27" spans="1:26" ht="126" x14ac:dyDescent="0.25">
      <c r="A27" s="132">
        <v>4195001</v>
      </c>
      <c r="B27" s="176" t="s">
        <v>4</v>
      </c>
      <c r="C27" s="106"/>
      <c r="D27" s="106" t="e">
        <f>SUMIF(#REF!,A27,#REF!)</f>
        <v>#REF!</v>
      </c>
      <c r="E27" s="106" t="e">
        <f>SUMIF(#REF!,A27,#REF!)</f>
        <v>#REF!</v>
      </c>
      <c r="F27" s="106"/>
      <c r="G27" s="106">
        <f>SUMIF(FY2012AuditReconciliation!$C$5:$C$146,A27,FY2012AuditReconciliation!$K$5:$K$146)</f>
        <v>37800</v>
      </c>
      <c r="H27" s="106">
        <v>52807</v>
      </c>
      <c r="I27" s="106">
        <f>SUMIF('actual 2014'!$C$5:$C$121,A27,'actual 2014'!$L$5:$L$121)</f>
        <v>68580</v>
      </c>
      <c r="J27" s="106">
        <v>40110</v>
      </c>
      <c r="K27" s="119">
        <f>+'Line Items explanations'!H57</f>
        <v>780</v>
      </c>
      <c r="L27" s="159">
        <f t="shared" si="1"/>
        <v>-0.98055347793567693</v>
      </c>
      <c r="M27" s="142">
        <f t="shared" si="6"/>
        <v>195</v>
      </c>
      <c r="N27" s="142">
        <f t="shared" si="6"/>
        <v>195</v>
      </c>
      <c r="O27" s="142">
        <f t="shared" si="6"/>
        <v>195</v>
      </c>
      <c r="P27" s="160">
        <f t="shared" si="6"/>
        <v>195</v>
      </c>
      <c r="Q27" s="143">
        <f t="shared" si="7"/>
        <v>0.92857142857142849</v>
      </c>
      <c r="R27" s="49">
        <v>84600</v>
      </c>
      <c r="S27" s="143">
        <f t="shared" si="8"/>
        <v>55.511811023622045</v>
      </c>
      <c r="T27" s="145">
        <f t="shared" si="9"/>
        <v>9.2198581560283682E-3</v>
      </c>
      <c r="U27" s="354" t="s">
        <v>510</v>
      </c>
      <c r="V27" s="391" t="s">
        <v>527</v>
      </c>
      <c r="W27" s="131"/>
      <c r="X27" s="131"/>
      <c r="Y27" s="394"/>
    </row>
    <row r="28" spans="1:26" x14ac:dyDescent="0.25">
      <c r="A28" s="132">
        <v>4210001</v>
      </c>
      <c r="B28" s="176" t="s">
        <v>86</v>
      </c>
      <c r="C28" s="106"/>
      <c r="D28" s="106" t="e">
        <f>SUMIF(#REF!,A28,#REF!)</f>
        <v>#REF!</v>
      </c>
      <c r="E28" s="106" t="e">
        <f>SUMIF(#REF!,A28,#REF!)</f>
        <v>#REF!</v>
      </c>
      <c r="F28" s="106"/>
      <c r="G28" s="106">
        <f>SUMIF(FY2012AuditReconciliation!$C$5:$C$146,A28,FY2012AuditReconciliation!$K$5:$K$146)</f>
        <v>14751</v>
      </c>
      <c r="H28" s="106">
        <v>11306</v>
      </c>
      <c r="I28" s="106">
        <f>SUMIF('actual 2014'!$C$5:$C$121,A28,'actual 2014'!$L$5:$L$121)</f>
        <v>32741</v>
      </c>
      <c r="J28" s="106">
        <v>28575</v>
      </c>
      <c r="K28" s="119">
        <f>+'Compensation Details'!F27</f>
        <v>0</v>
      </c>
      <c r="L28" s="159" t="str">
        <f t="shared" si="1"/>
        <v/>
      </c>
      <c r="M28" s="142">
        <f t="shared" si="6"/>
        <v>0</v>
      </c>
      <c r="N28" s="142">
        <f t="shared" si="6"/>
        <v>0</v>
      </c>
      <c r="O28" s="142">
        <f t="shared" si="6"/>
        <v>0</v>
      </c>
      <c r="P28" s="160">
        <f t="shared" si="6"/>
        <v>0</v>
      </c>
      <c r="Q28" s="143">
        <f t="shared" si="7"/>
        <v>0</v>
      </c>
      <c r="R28" s="49">
        <v>29433</v>
      </c>
      <c r="S28" s="143">
        <f t="shared" si="8"/>
        <v>19.312992125984252</v>
      </c>
      <c r="T28" s="145">
        <f t="shared" si="9"/>
        <v>0</v>
      </c>
      <c r="V28" s="391"/>
      <c r="W28" s="131"/>
      <c r="X28" s="131"/>
      <c r="Y28" s="394"/>
    </row>
    <row r="29" spans="1:26" x14ac:dyDescent="0.25">
      <c r="A29" s="132">
        <v>4220001</v>
      </c>
      <c r="B29" s="176" t="s">
        <v>87</v>
      </c>
      <c r="C29" s="106"/>
      <c r="D29" s="106" t="e">
        <f>SUMIF(#REF!,A29,#REF!)</f>
        <v>#REF!</v>
      </c>
      <c r="E29" s="106" t="e">
        <f>SUMIF(#REF!,A29,#REF!)</f>
        <v>#REF!</v>
      </c>
      <c r="F29" s="106"/>
      <c r="G29" s="106">
        <f>SUMIF(FY2012AuditReconciliation!$C$5:$C$146,A29,FY2012AuditReconciliation!$K$5:$K$146)</f>
        <v>365</v>
      </c>
      <c r="H29" s="106">
        <v>125</v>
      </c>
      <c r="I29" s="106">
        <f>SUMIF('actual 2014'!$C$5:$C$121,A29,'actual 2014'!$L$5:$L$121)</f>
        <v>77</v>
      </c>
      <c r="J29" s="106">
        <v>275</v>
      </c>
      <c r="K29" s="119">
        <f>+'Line Items explanations'!H62</f>
        <v>0</v>
      </c>
      <c r="L29" s="159" t="str">
        <f t="shared" si="1"/>
        <v/>
      </c>
      <c r="M29" s="142">
        <f t="shared" si="6"/>
        <v>0</v>
      </c>
      <c r="N29" s="142">
        <f t="shared" si="6"/>
        <v>0</v>
      </c>
      <c r="O29" s="142">
        <f t="shared" si="6"/>
        <v>0</v>
      </c>
      <c r="P29" s="160">
        <f t="shared" si="6"/>
        <v>0</v>
      </c>
      <c r="Q29" s="143">
        <f t="shared" si="7"/>
        <v>0</v>
      </c>
      <c r="R29" s="49">
        <v>500</v>
      </c>
      <c r="S29" s="143">
        <f t="shared" si="8"/>
        <v>0.32808398950131235</v>
      </c>
      <c r="T29" s="145">
        <f t="shared" si="9"/>
        <v>0</v>
      </c>
      <c r="V29" s="391"/>
      <c r="W29" s="131"/>
      <c r="X29" s="131"/>
      <c r="Y29" s="394"/>
    </row>
    <row r="30" spans="1:26" ht="94.5" x14ac:dyDescent="0.25">
      <c r="A30" s="132">
        <v>4190049.01</v>
      </c>
      <c r="B30" s="176" t="s">
        <v>5</v>
      </c>
      <c r="C30" s="106"/>
      <c r="D30" s="106" t="e">
        <f>SUMIF(#REF!,A30,#REF!)</f>
        <v>#REF!</v>
      </c>
      <c r="E30" s="106" t="e">
        <f>SUMIF(#REF!,A30,#REF!)</f>
        <v>#REF!</v>
      </c>
      <c r="F30" s="106"/>
      <c r="G30" s="106">
        <f>SUMIF(FY2012AuditReconciliation!$C$5:$C$146,A30,FY2012AuditReconciliation!$K$5:$K$146)</f>
        <v>748</v>
      </c>
      <c r="H30" s="106">
        <v>560</v>
      </c>
      <c r="I30" s="106">
        <f>SUMIF('actual 2014'!$C$5:$C$121,A30,'actual 2014'!$L$5:$L$121)</f>
        <v>1989</v>
      </c>
      <c r="J30" s="106">
        <v>828</v>
      </c>
      <c r="K30" s="119">
        <f>+'Line Items explanations'!H72</f>
        <v>2376</v>
      </c>
      <c r="L30" s="159">
        <f t="shared" si="1"/>
        <v>1.8695652173913044</v>
      </c>
      <c r="M30" s="142">
        <f t="shared" si="6"/>
        <v>594</v>
      </c>
      <c r="N30" s="142">
        <f t="shared" si="6"/>
        <v>594</v>
      </c>
      <c r="O30" s="142">
        <f t="shared" si="6"/>
        <v>594</v>
      </c>
      <c r="P30" s="160">
        <f t="shared" si="6"/>
        <v>594</v>
      </c>
      <c r="Q30" s="143">
        <f t="shared" si="7"/>
        <v>2.8285714285714287</v>
      </c>
      <c r="R30" s="49">
        <v>2200</v>
      </c>
      <c r="S30" s="143">
        <f t="shared" si="8"/>
        <v>1.4435695538057745</v>
      </c>
      <c r="T30" s="145">
        <f t="shared" si="9"/>
        <v>1.08</v>
      </c>
      <c r="U30" s="354" t="s">
        <v>506</v>
      </c>
      <c r="V30" s="391" t="s">
        <v>528</v>
      </c>
      <c r="W30" s="131"/>
      <c r="X30" s="131"/>
      <c r="Y30" s="394"/>
    </row>
    <row r="31" spans="1:26" x14ac:dyDescent="0.25">
      <c r="A31" s="132">
        <v>4130004.01</v>
      </c>
      <c r="B31" s="176" t="s">
        <v>68</v>
      </c>
      <c r="C31" s="106"/>
      <c r="D31" s="106" t="e">
        <f>SUMIF(#REF!,A31,#REF!)</f>
        <v>#REF!</v>
      </c>
      <c r="E31" s="106" t="e">
        <f>SUMIF(#REF!,A31,#REF!)</f>
        <v>#REF!</v>
      </c>
      <c r="F31" s="106"/>
      <c r="G31" s="106">
        <f>SUMIF(FY2012AuditReconciliation!$C$5:$C$146,A31,FY2012AuditReconciliation!$K$5:$K$146)</f>
        <v>0</v>
      </c>
      <c r="H31" s="106">
        <v>0</v>
      </c>
      <c r="I31" s="106">
        <f>SUMIF('actual 2014'!$C$5:$C$121,A31,'actual 2014'!$L$5:$L$121)</f>
        <v>0</v>
      </c>
      <c r="J31" s="106">
        <v>0</v>
      </c>
      <c r="K31" s="119">
        <f>+'Line Items explanations'!H77</f>
        <v>2970</v>
      </c>
      <c r="L31" s="159">
        <f t="shared" si="1"/>
        <v>1</v>
      </c>
      <c r="M31" s="142">
        <f t="shared" si="6"/>
        <v>742.5</v>
      </c>
      <c r="N31" s="142">
        <f t="shared" si="6"/>
        <v>742.5</v>
      </c>
      <c r="O31" s="142">
        <f t="shared" si="6"/>
        <v>742.5</v>
      </c>
      <c r="P31" s="160">
        <f t="shared" si="6"/>
        <v>742.5</v>
      </c>
      <c r="Q31" s="143">
        <f t="shared" si="7"/>
        <v>3.535714285714286</v>
      </c>
      <c r="R31" s="49">
        <v>0</v>
      </c>
      <c r="S31" s="143">
        <f t="shared" si="8"/>
        <v>0</v>
      </c>
      <c r="T31" s="145">
        <f t="shared" si="9"/>
        <v>0</v>
      </c>
      <c r="V31" s="391"/>
      <c r="W31" s="131"/>
      <c r="X31" s="131"/>
      <c r="Y31" s="394"/>
    </row>
    <row r="32" spans="1:26" x14ac:dyDescent="0.25">
      <c r="A32" s="132">
        <v>4130004.02</v>
      </c>
      <c r="B32" s="176" t="s">
        <v>67</v>
      </c>
      <c r="C32" s="106"/>
      <c r="D32" s="106" t="e">
        <f>SUMIF(#REF!,A32,#REF!)</f>
        <v>#REF!</v>
      </c>
      <c r="E32" s="106" t="e">
        <f>SUMIF(#REF!,A32,#REF!)</f>
        <v>#REF!</v>
      </c>
      <c r="F32" s="106"/>
      <c r="G32" s="106">
        <f>SUMIF(FY2012AuditReconciliation!$C$5:$C$146,A32,FY2012AuditReconciliation!$K$5:$K$146)</f>
        <v>9578</v>
      </c>
      <c r="H32" s="106">
        <v>16500</v>
      </c>
      <c r="I32" s="106">
        <f>SUMIF('actual 2014'!$C$5:$C$121,A32,'actual 2014'!$L$5:$L$121)</f>
        <v>6297</v>
      </c>
      <c r="J32" s="106">
        <v>14998.800000000001</v>
      </c>
      <c r="K32" s="119">
        <f>+'Line Items explanations'!H82</f>
        <v>8448</v>
      </c>
      <c r="L32" s="159">
        <f t="shared" si="1"/>
        <v>-0.43675494039523166</v>
      </c>
      <c r="M32" s="142">
        <f t="shared" si="6"/>
        <v>2112</v>
      </c>
      <c r="N32" s="142">
        <f t="shared" si="6"/>
        <v>2112</v>
      </c>
      <c r="O32" s="142">
        <f t="shared" si="6"/>
        <v>2112</v>
      </c>
      <c r="P32" s="160">
        <f t="shared" si="6"/>
        <v>2112</v>
      </c>
      <c r="Q32" s="143">
        <f t="shared" si="7"/>
        <v>10.057142857142857</v>
      </c>
      <c r="R32" s="49">
        <v>20000</v>
      </c>
      <c r="S32" s="143">
        <f t="shared" si="8"/>
        <v>13.123359580052494</v>
      </c>
      <c r="T32" s="145">
        <f t="shared" si="9"/>
        <v>0.4224</v>
      </c>
      <c r="V32" s="391"/>
      <c r="W32" s="131"/>
      <c r="X32" s="131"/>
      <c r="Y32" s="394"/>
    </row>
    <row r="33" spans="1:25" ht="63" x14ac:dyDescent="0.25">
      <c r="A33" s="132">
        <v>4170001</v>
      </c>
      <c r="B33" s="176" t="s">
        <v>6</v>
      </c>
      <c r="C33" s="106"/>
      <c r="D33" s="106" t="e">
        <f>SUMIF(#REF!,A33,#REF!)</f>
        <v>#REF!</v>
      </c>
      <c r="E33" s="106" t="e">
        <f>SUMIF(#REF!,A33,#REF!)</f>
        <v>#REF!</v>
      </c>
      <c r="F33" s="106"/>
      <c r="G33" s="106">
        <f>SUMIF(FY2012AuditReconciliation!$C$5:$C$146,A33,FY2012AuditReconciliation!$K$5:$K$146)</f>
        <v>6366</v>
      </c>
      <c r="H33" s="106">
        <v>6050</v>
      </c>
      <c r="I33" s="106">
        <f>SUMIF('actual 2014'!$C$5:$C$121,A33,'actual 2014'!$L$5:$L$121)</f>
        <v>12250</v>
      </c>
      <c r="J33" s="106">
        <v>6325</v>
      </c>
      <c r="K33" s="119">
        <f>+'Line Items explanations'!H87</f>
        <v>0</v>
      </c>
      <c r="L33" s="159" t="str">
        <f t="shared" si="1"/>
        <v/>
      </c>
      <c r="M33" s="142">
        <f t="shared" si="6"/>
        <v>0</v>
      </c>
      <c r="N33" s="142">
        <f t="shared" si="6"/>
        <v>0</v>
      </c>
      <c r="O33" s="142">
        <f t="shared" si="6"/>
        <v>0</v>
      </c>
      <c r="P33" s="160">
        <f t="shared" si="6"/>
        <v>0</v>
      </c>
      <c r="Q33" s="143">
        <f t="shared" si="7"/>
        <v>0</v>
      </c>
      <c r="R33" s="49">
        <v>12500</v>
      </c>
      <c r="S33" s="143">
        <f t="shared" si="8"/>
        <v>8.2020997375328086</v>
      </c>
      <c r="T33" s="145">
        <f t="shared" si="9"/>
        <v>0</v>
      </c>
      <c r="U33" s="354" t="s">
        <v>511</v>
      </c>
      <c r="V33" s="391" t="s">
        <v>525</v>
      </c>
      <c r="W33" s="131"/>
      <c r="X33" s="131"/>
      <c r="Y33" s="394"/>
    </row>
    <row r="34" spans="1:25" x14ac:dyDescent="0.25">
      <c r="A34" s="132">
        <v>4193001</v>
      </c>
      <c r="B34" s="176" t="s">
        <v>72</v>
      </c>
      <c r="C34" s="106"/>
      <c r="D34" s="106" t="e">
        <f>SUMIF(#REF!,A34,#REF!)</f>
        <v>#REF!</v>
      </c>
      <c r="E34" s="106" t="e">
        <f>SUMIF(#REF!,A34,#REF!)</f>
        <v>#REF!</v>
      </c>
      <c r="F34" s="106"/>
      <c r="G34" s="106">
        <f>SUMIF(FY2012AuditReconciliation!$C$5:$C$146,A34,FY2012AuditReconciliation!$K$5:$K$146)</f>
        <v>3080</v>
      </c>
      <c r="H34" s="106">
        <v>1387</v>
      </c>
      <c r="I34" s="106">
        <f>SUMIF('actual 2014'!$C$5:$C$121,A34,'actual 2014'!$L$5:$L$121)</f>
        <v>4919</v>
      </c>
      <c r="J34" s="106">
        <v>1925</v>
      </c>
      <c r="K34" s="119">
        <f>+'Line Items explanations'!H92</f>
        <v>0</v>
      </c>
      <c r="L34" s="159" t="str">
        <f t="shared" si="1"/>
        <v/>
      </c>
      <c r="M34" s="142">
        <f t="shared" si="6"/>
        <v>0</v>
      </c>
      <c r="N34" s="142">
        <f t="shared" si="6"/>
        <v>0</v>
      </c>
      <c r="O34" s="142">
        <f t="shared" si="6"/>
        <v>0</v>
      </c>
      <c r="P34" s="160">
        <f t="shared" si="6"/>
        <v>0</v>
      </c>
      <c r="Q34" s="143">
        <f t="shared" si="7"/>
        <v>0</v>
      </c>
      <c r="R34" s="49">
        <v>3500</v>
      </c>
      <c r="S34" s="143">
        <f t="shared" si="8"/>
        <v>2.2965879265091864</v>
      </c>
      <c r="T34" s="145">
        <f t="shared" si="9"/>
        <v>0</v>
      </c>
      <c r="V34" s="391"/>
      <c r="W34" s="131"/>
      <c r="X34" s="131"/>
      <c r="Y34" s="394"/>
    </row>
    <row r="35" spans="1:25" ht="157.5" x14ac:dyDescent="0.25">
      <c r="A35" s="132">
        <v>4190014</v>
      </c>
      <c r="B35" s="176" t="s">
        <v>7</v>
      </c>
      <c r="C35" s="106"/>
      <c r="D35" s="106" t="e">
        <f>SUMIF(#REF!,A35,#REF!)</f>
        <v>#REF!</v>
      </c>
      <c r="E35" s="106" t="e">
        <f>SUMIF(#REF!,A35,#REF!)</f>
        <v>#REF!</v>
      </c>
      <c r="F35" s="106"/>
      <c r="G35" s="106">
        <f>SUMIF(FY2012AuditReconciliation!$C$5:$C$146,A35,FY2012AuditReconciliation!$K$5:$K$146)</f>
        <v>4617</v>
      </c>
      <c r="H35" s="106">
        <v>3956</v>
      </c>
      <c r="I35" s="106">
        <f>SUMIF('actual 2014'!$C$5:$C$121,A35,'actual 2014'!$L$5:$L$121)</f>
        <v>12223</v>
      </c>
      <c r="J35" s="106">
        <v>4334</v>
      </c>
      <c r="K35" s="119">
        <f>+'Line Items explanations'!H97</f>
        <v>100</v>
      </c>
      <c r="L35" s="159">
        <f t="shared" si="1"/>
        <v>-0.9769266266728196</v>
      </c>
      <c r="M35" s="142">
        <f t="shared" si="6"/>
        <v>25</v>
      </c>
      <c r="N35" s="142">
        <f t="shared" si="6"/>
        <v>25</v>
      </c>
      <c r="O35" s="142">
        <f t="shared" si="6"/>
        <v>25</v>
      </c>
      <c r="P35" s="160">
        <f t="shared" si="6"/>
        <v>25</v>
      </c>
      <c r="Q35" s="143">
        <f t="shared" si="7"/>
        <v>0.11904761904761905</v>
      </c>
      <c r="R35" s="49">
        <f>326+10500</f>
        <v>10826</v>
      </c>
      <c r="S35" s="143">
        <f t="shared" si="8"/>
        <v>7.1036745406824151</v>
      </c>
      <c r="T35" s="145">
        <f t="shared" si="9"/>
        <v>9.2370219841123227E-3</v>
      </c>
      <c r="U35" s="354" t="s">
        <v>512</v>
      </c>
      <c r="V35" s="391" t="s">
        <v>526</v>
      </c>
      <c r="W35" s="131"/>
      <c r="X35" s="131"/>
      <c r="Y35" s="394"/>
    </row>
    <row r="36" spans="1:25" x14ac:dyDescent="0.25">
      <c r="A36" s="132">
        <v>4570001</v>
      </c>
      <c r="B36" s="176" t="s">
        <v>90</v>
      </c>
      <c r="C36" s="106"/>
      <c r="D36" s="106" t="e">
        <f>SUMIF(#REF!,A36,#REF!)</f>
        <v>#REF!</v>
      </c>
      <c r="E36" s="106" t="e">
        <f>SUMIF(#REF!,A36,#REF!)</f>
        <v>#REF!</v>
      </c>
      <c r="F36" s="106"/>
      <c r="G36" s="106">
        <f>SUMIF(FY2012AuditReconciliation!$C$5:$C$146,A36,FY2012AuditReconciliation!$K$5:$K$146)</f>
        <v>0</v>
      </c>
      <c r="H36" s="106">
        <v>0</v>
      </c>
      <c r="I36" s="106">
        <f>SUMIF('actual 2014'!$C$5:$C$121,A36,'actual 2014'!$L$5:$L$121)</f>
        <v>23265</v>
      </c>
      <c r="J36" s="106">
        <v>0</v>
      </c>
      <c r="K36" s="119">
        <f>+'Line Items explanations'!H98</f>
        <v>0</v>
      </c>
      <c r="L36" s="159" t="str">
        <f t="shared" si="1"/>
        <v/>
      </c>
      <c r="M36" s="142">
        <f t="shared" si="6"/>
        <v>0</v>
      </c>
      <c r="N36" s="142">
        <f t="shared" si="6"/>
        <v>0</v>
      </c>
      <c r="O36" s="142">
        <f t="shared" si="6"/>
        <v>0</v>
      </c>
      <c r="P36" s="160">
        <f t="shared" si="6"/>
        <v>0</v>
      </c>
      <c r="Q36" s="143">
        <f t="shared" si="7"/>
        <v>0</v>
      </c>
      <c r="R36" s="49">
        <v>22000</v>
      </c>
      <c r="S36" s="143">
        <f t="shared" si="8"/>
        <v>14.435695538057743</v>
      </c>
      <c r="T36" s="145">
        <f t="shared" si="9"/>
        <v>0</v>
      </c>
      <c r="V36" s="391"/>
      <c r="W36" s="131"/>
      <c r="X36" s="131"/>
      <c r="Y36" s="394"/>
    </row>
    <row r="37" spans="1:25" x14ac:dyDescent="0.25">
      <c r="A37" s="132" t="s">
        <v>347</v>
      </c>
      <c r="B37" s="176" t="s">
        <v>459</v>
      </c>
      <c r="C37" s="106"/>
      <c r="D37" s="106" t="e">
        <f>SUMIF(#REF!,A37,#REF!)</f>
        <v>#REF!</v>
      </c>
      <c r="E37" s="106" t="e">
        <f>SUMIF(#REF!,A37,#REF!)</f>
        <v>#REF!</v>
      </c>
      <c r="F37" s="106"/>
      <c r="G37" s="106">
        <f>SUMIF(FY2012AuditReconciliation!$C$5:$C$146,A37,FY2012AuditReconciliation!$K$5:$K$146)</f>
        <v>0</v>
      </c>
      <c r="H37" s="106">
        <v>0</v>
      </c>
      <c r="I37" s="106">
        <f>SUMIF('actual 2014'!$C$5:$C$121,A37,'actual 2014'!$L$5:$L$121)</f>
        <v>0</v>
      </c>
      <c r="J37" s="106">
        <v>0</v>
      </c>
      <c r="K37" s="119">
        <f>+'Line Items explanations'!H99</f>
        <v>0</v>
      </c>
      <c r="L37" s="159" t="str">
        <f t="shared" si="1"/>
        <v/>
      </c>
      <c r="M37" s="142">
        <f t="shared" si="6"/>
        <v>0</v>
      </c>
      <c r="N37" s="142">
        <f t="shared" si="6"/>
        <v>0</v>
      </c>
      <c r="O37" s="142">
        <f t="shared" si="6"/>
        <v>0</v>
      </c>
      <c r="P37" s="160">
        <f t="shared" si="6"/>
        <v>0</v>
      </c>
      <c r="Q37" s="143">
        <f t="shared" si="7"/>
        <v>0</v>
      </c>
      <c r="R37" s="49"/>
      <c r="S37" s="143">
        <f t="shared" si="8"/>
        <v>0</v>
      </c>
      <c r="T37" s="145">
        <f>IF(R37=0,0,(K37/R37))</f>
        <v>0</v>
      </c>
      <c r="V37" s="391"/>
      <c r="W37" s="131"/>
      <c r="X37" s="131"/>
      <c r="Y37" s="394"/>
    </row>
    <row r="38" spans="1:25" x14ac:dyDescent="0.25">
      <c r="A38" s="132">
        <v>4190008</v>
      </c>
      <c r="B38" s="176" t="s">
        <v>8</v>
      </c>
      <c r="C38" s="106"/>
      <c r="D38" s="106" t="e">
        <f>SUMIF(#REF!,A38,#REF!)</f>
        <v>#REF!</v>
      </c>
      <c r="E38" s="106" t="e">
        <f>SUMIF(#REF!,A38,#REF!)</f>
        <v>#REF!</v>
      </c>
      <c r="F38" s="106"/>
      <c r="G38" s="106">
        <f>SUMIF(FY2012AuditReconciliation!$C$5:$C$146,A38,FY2012AuditReconciliation!$K$5:$K$146)</f>
        <v>1449</v>
      </c>
      <c r="H38" s="106">
        <v>1218</v>
      </c>
      <c r="I38" s="106">
        <f>SUMIF('actual 2014'!$C$5:$C$121,A38,'actual 2014'!$L$5:$L$121)</f>
        <v>2226</v>
      </c>
      <c r="J38" s="106">
        <v>1650</v>
      </c>
      <c r="K38" s="48">
        <f>+'Line Items explanations'!H102</f>
        <v>0</v>
      </c>
      <c r="L38" s="159" t="str">
        <f t="shared" si="1"/>
        <v/>
      </c>
      <c r="M38" s="142">
        <f t="shared" si="6"/>
        <v>0</v>
      </c>
      <c r="N38" s="142">
        <f t="shared" si="6"/>
        <v>0</v>
      </c>
      <c r="O38" s="142">
        <f t="shared" si="6"/>
        <v>0</v>
      </c>
      <c r="P38" s="160">
        <f t="shared" si="6"/>
        <v>0</v>
      </c>
      <c r="Q38" s="143">
        <f t="shared" si="7"/>
        <v>0</v>
      </c>
      <c r="R38" s="49">
        <v>2750</v>
      </c>
      <c r="S38" s="143">
        <f t="shared" si="8"/>
        <v>1.8044619422572179</v>
      </c>
      <c r="T38" s="145">
        <f t="shared" si="9"/>
        <v>0</v>
      </c>
      <c r="V38" s="391"/>
      <c r="W38" s="131"/>
      <c r="X38" s="131"/>
      <c r="Y38" s="394"/>
    </row>
    <row r="39" spans="1:25" x14ac:dyDescent="0.25">
      <c r="A39" s="132">
        <v>4190051.02</v>
      </c>
      <c r="B39" s="176" t="s">
        <v>9</v>
      </c>
      <c r="C39" s="106"/>
      <c r="D39" s="106" t="e">
        <f>SUMIF(#REF!,A39,#REF!)</f>
        <v>#REF!</v>
      </c>
      <c r="E39" s="106" t="e">
        <f>SUMIF(#REF!,A39,#REF!)</f>
        <v>#REF!</v>
      </c>
      <c r="F39" s="106"/>
      <c r="G39" s="106">
        <f>SUMIF(FY2012AuditReconciliation!$C$5:$C$146,A39,FY2012AuditReconciliation!$K$5:$K$146)</f>
        <v>0</v>
      </c>
      <c r="H39" s="106"/>
      <c r="I39" s="106">
        <f>SUMIF('actual 2014'!$C$5:$C$121,A39,'actual 2014'!$L$5:$L$121)</f>
        <v>3504</v>
      </c>
      <c r="J39" s="106"/>
      <c r="K39" s="48"/>
      <c r="L39" s="159" t="str">
        <f t="shared" si="1"/>
        <v/>
      </c>
      <c r="M39" s="142">
        <f t="shared" si="6"/>
        <v>0</v>
      </c>
      <c r="N39" s="142">
        <f t="shared" si="6"/>
        <v>0</v>
      </c>
      <c r="O39" s="142">
        <f t="shared" si="6"/>
        <v>0</v>
      </c>
      <c r="P39" s="160">
        <f t="shared" si="6"/>
        <v>0</v>
      </c>
      <c r="Q39" s="143">
        <f t="shared" si="7"/>
        <v>0</v>
      </c>
      <c r="R39" s="49">
        <v>3500</v>
      </c>
      <c r="S39" s="143">
        <f t="shared" si="8"/>
        <v>2.2965879265091864</v>
      </c>
      <c r="T39" s="145">
        <f t="shared" si="9"/>
        <v>0</v>
      </c>
      <c r="V39" s="391"/>
      <c r="W39" s="131"/>
      <c r="X39" s="131"/>
      <c r="Y39" s="394"/>
    </row>
    <row r="40" spans="1:25" ht="63" x14ac:dyDescent="0.25">
      <c r="A40" s="132">
        <v>4190049.04</v>
      </c>
      <c r="B40" s="176" t="s">
        <v>73</v>
      </c>
      <c r="C40" s="106"/>
      <c r="D40" s="106" t="e">
        <f>SUMIF(#REF!,A40,#REF!)</f>
        <v>#REF!</v>
      </c>
      <c r="E40" s="106" t="e">
        <f>SUMIF(#REF!,A40,#REF!)</f>
        <v>#REF!</v>
      </c>
      <c r="F40" s="106"/>
      <c r="G40" s="106">
        <f>SUMIF(FY2012AuditReconciliation!$C$5:$C$146,A40,FY2012AuditReconciliation!$K$5:$K$146)</f>
        <v>1637</v>
      </c>
      <c r="H40" s="106">
        <v>825</v>
      </c>
      <c r="I40" s="106">
        <f>SUMIF('actual 2014'!$C$5:$C$121,A40,'actual 2014'!$L$5:$L$121)</f>
        <v>2528</v>
      </c>
      <c r="J40" s="106">
        <v>1208</v>
      </c>
      <c r="K40" s="48">
        <f>+'Line Items explanations'!H107</f>
        <v>30</v>
      </c>
      <c r="L40" s="159">
        <f t="shared" si="1"/>
        <v>-0.97516556291390732</v>
      </c>
      <c r="M40" s="142">
        <f t="shared" si="6"/>
        <v>7.5</v>
      </c>
      <c r="N40" s="142">
        <f t="shared" si="6"/>
        <v>7.5</v>
      </c>
      <c r="O40" s="142">
        <f t="shared" si="6"/>
        <v>7.5</v>
      </c>
      <c r="P40" s="160">
        <f t="shared" si="6"/>
        <v>7.5</v>
      </c>
      <c r="Q40" s="143">
        <f t="shared" si="7"/>
        <v>3.5714285714285712E-2</v>
      </c>
      <c r="R40" s="49">
        <v>2750</v>
      </c>
      <c r="S40" s="143">
        <f t="shared" si="8"/>
        <v>1.8044619422572179</v>
      </c>
      <c r="T40" s="145">
        <f t="shared" si="9"/>
        <v>1.090909090909091E-2</v>
      </c>
      <c r="U40" s="354" t="s">
        <v>507</v>
      </c>
      <c r="V40" s="391"/>
      <c r="W40" s="131"/>
      <c r="X40" s="131"/>
      <c r="Y40" s="394"/>
    </row>
    <row r="41" spans="1:25" ht="173.25" x14ac:dyDescent="0.25">
      <c r="A41" s="132">
        <v>4150003</v>
      </c>
      <c r="B41" s="176" t="s">
        <v>74</v>
      </c>
      <c r="C41" s="106"/>
      <c r="D41" s="106" t="e">
        <f>SUMIF(#REF!,A41,#REF!)</f>
        <v>#REF!</v>
      </c>
      <c r="E41" s="106" t="e">
        <f>SUMIF(#REF!,A41,#REF!)</f>
        <v>#REF!</v>
      </c>
      <c r="F41" s="106"/>
      <c r="G41" s="106">
        <f>SUMIF(FY2012AuditReconciliation!$C$5:$C$146,A41,FY2012AuditReconciliation!$K$5:$K$146)</f>
        <v>822</v>
      </c>
      <c r="H41" s="106">
        <v>1000</v>
      </c>
      <c r="I41" s="106">
        <f>SUMIF('actual 2014'!$C$5:$C$121,A41,'actual 2014'!$L$5:$L$121)</f>
        <v>837</v>
      </c>
      <c r="J41" s="106">
        <v>1000</v>
      </c>
      <c r="K41" s="119">
        <f>+'Line Items explanations'!H127</f>
        <v>300</v>
      </c>
      <c r="L41" s="159">
        <f t="shared" si="1"/>
        <v>-0.7</v>
      </c>
      <c r="M41" s="142">
        <f t="shared" si="6"/>
        <v>75</v>
      </c>
      <c r="N41" s="142">
        <f t="shared" si="6"/>
        <v>75</v>
      </c>
      <c r="O41" s="142">
        <f t="shared" si="6"/>
        <v>75</v>
      </c>
      <c r="P41" s="160">
        <f t="shared" si="6"/>
        <v>75</v>
      </c>
      <c r="Q41" s="143">
        <f t="shared" si="7"/>
        <v>0.35714285714285715</v>
      </c>
      <c r="R41" s="49">
        <v>1000</v>
      </c>
      <c r="S41" s="143">
        <f t="shared" si="8"/>
        <v>0.65616797900262469</v>
      </c>
      <c r="T41" s="145">
        <f t="shared" si="9"/>
        <v>0.3</v>
      </c>
      <c r="U41" s="354" t="s">
        <v>513</v>
      </c>
      <c r="V41" s="391" t="s">
        <v>529</v>
      </c>
      <c r="W41" s="131"/>
      <c r="X41" s="131"/>
      <c r="Y41" s="394"/>
    </row>
    <row r="42" spans="1:25" ht="173.25" x14ac:dyDescent="0.25">
      <c r="A42" s="132">
        <v>4140001</v>
      </c>
      <c r="B42" s="176" t="s">
        <v>75</v>
      </c>
      <c r="C42" s="106"/>
      <c r="D42" s="106" t="e">
        <f>SUMIF(#REF!,A42,#REF!)</f>
        <v>#REF!</v>
      </c>
      <c r="E42" s="106" t="e">
        <f>SUMIF(#REF!,A42,#REF!)</f>
        <v>#REF!</v>
      </c>
      <c r="F42" s="106"/>
      <c r="G42" s="106">
        <f>SUMIF(FY2012AuditReconciliation!$C$5:$C$146,A42,FY2012AuditReconciliation!$K$5:$K$146)</f>
        <v>365</v>
      </c>
      <c r="H42" s="106">
        <v>1000</v>
      </c>
      <c r="I42" s="106">
        <f>SUMIF('actual 2014'!$C$5:$C$121,A42,'actual 2014'!$L$5:$L$121)</f>
        <v>4615</v>
      </c>
      <c r="J42" s="106">
        <v>1000</v>
      </c>
      <c r="K42" s="119">
        <f>+'Line Items explanations'!H122</f>
        <v>360</v>
      </c>
      <c r="L42" s="159">
        <f t="shared" si="1"/>
        <v>-0.64</v>
      </c>
      <c r="M42" s="142">
        <f t="shared" si="6"/>
        <v>90</v>
      </c>
      <c r="N42" s="142">
        <f t="shared" si="6"/>
        <v>90</v>
      </c>
      <c r="O42" s="142">
        <f t="shared" si="6"/>
        <v>90</v>
      </c>
      <c r="P42" s="160">
        <f t="shared" si="6"/>
        <v>90</v>
      </c>
      <c r="Q42" s="143">
        <f t="shared" si="7"/>
        <v>0.4285714285714286</v>
      </c>
      <c r="R42" s="49">
        <v>1000</v>
      </c>
      <c r="S42" s="143">
        <f t="shared" si="8"/>
        <v>0.65616797900262469</v>
      </c>
      <c r="T42" s="145">
        <f t="shared" si="9"/>
        <v>0.36</v>
      </c>
      <c r="U42" s="354" t="s">
        <v>514</v>
      </c>
      <c r="V42" s="391" t="s">
        <v>529</v>
      </c>
      <c r="W42" s="131"/>
      <c r="X42" s="131"/>
      <c r="Y42" s="394"/>
    </row>
    <row r="43" spans="1:25" x14ac:dyDescent="0.25">
      <c r="A43" s="132">
        <v>4190004</v>
      </c>
      <c r="B43" s="158" t="s">
        <v>107</v>
      </c>
      <c r="C43" s="106"/>
      <c r="D43" s="106" t="e">
        <f>SUMIF(#REF!,A43,#REF!)</f>
        <v>#REF!</v>
      </c>
      <c r="E43" s="106" t="e">
        <f>SUMIF(#REF!,A43,#REF!)</f>
        <v>#REF!</v>
      </c>
      <c r="F43" s="106"/>
      <c r="G43" s="106">
        <f>SUMIF(FY2012AuditReconciliation!$C$5:$C$146,A43,FY2012AuditReconciliation!$K$5:$K$146)</f>
        <v>0</v>
      </c>
      <c r="H43" s="106"/>
      <c r="I43" s="106">
        <f>SUMIF('actual 2014'!$C$5:$C$121,A43,'actual 2014'!$L$5:$L$121)</f>
        <v>0</v>
      </c>
      <c r="J43" s="106"/>
      <c r="K43" s="48"/>
      <c r="L43" s="159" t="str">
        <f t="shared" si="1"/>
        <v/>
      </c>
      <c r="M43" s="142">
        <f t="shared" si="6"/>
        <v>0</v>
      </c>
      <c r="N43" s="142">
        <f t="shared" si="6"/>
        <v>0</v>
      </c>
      <c r="O43" s="142">
        <f t="shared" si="6"/>
        <v>0</v>
      </c>
      <c r="P43" s="160">
        <f t="shared" si="6"/>
        <v>0</v>
      </c>
      <c r="Q43" s="143">
        <f t="shared" si="7"/>
        <v>0</v>
      </c>
      <c r="R43" s="49"/>
      <c r="S43" s="143">
        <f t="shared" si="8"/>
        <v>0</v>
      </c>
      <c r="T43" s="145">
        <f t="shared" si="9"/>
        <v>0</v>
      </c>
      <c r="V43" s="391"/>
      <c r="W43" s="131"/>
      <c r="X43" s="131"/>
      <c r="Y43" s="394"/>
    </row>
    <row r="44" spans="1:25" x14ac:dyDescent="0.25">
      <c r="A44" s="132">
        <v>4190030.01</v>
      </c>
      <c r="B44" s="158" t="s">
        <v>94</v>
      </c>
      <c r="C44" s="106"/>
      <c r="D44" s="106" t="e">
        <f>SUMIF(#REF!,A44,#REF!)</f>
        <v>#REF!</v>
      </c>
      <c r="E44" s="106" t="e">
        <f>SUMIF(#REF!,A44,#REF!)</f>
        <v>#REF!</v>
      </c>
      <c r="F44" s="106"/>
      <c r="G44" s="106">
        <f>SUMIF(FY2012AuditReconciliation!$C$5:$C$146,A44,FY2012AuditReconciliation!$K$5:$K$146)</f>
        <v>0</v>
      </c>
      <c r="H44" s="106"/>
      <c r="I44" s="106">
        <f>SUMIF('actual 2014'!$C$5:$C$121,A44,'actual 2014'!$L$5:$L$121)</f>
        <v>0</v>
      </c>
      <c r="J44" s="106"/>
      <c r="K44" s="48"/>
      <c r="L44" s="159" t="str">
        <f t="shared" si="1"/>
        <v/>
      </c>
      <c r="M44" s="142">
        <f t="shared" si="6"/>
        <v>0</v>
      </c>
      <c r="N44" s="142">
        <f t="shared" si="6"/>
        <v>0</v>
      </c>
      <c r="O44" s="142">
        <f t="shared" si="6"/>
        <v>0</v>
      </c>
      <c r="P44" s="160">
        <f t="shared" si="6"/>
        <v>0</v>
      </c>
      <c r="Q44" s="143">
        <f t="shared" si="7"/>
        <v>0</v>
      </c>
      <c r="R44" s="49"/>
      <c r="S44" s="143">
        <f t="shared" si="8"/>
        <v>0</v>
      </c>
      <c r="T44" s="145">
        <f t="shared" si="9"/>
        <v>0</v>
      </c>
      <c r="V44" s="391"/>
      <c r="W44" s="131"/>
      <c r="X44" s="131"/>
      <c r="Y44" s="394"/>
    </row>
    <row r="45" spans="1:25" x14ac:dyDescent="0.25">
      <c r="A45" s="132">
        <v>4230001</v>
      </c>
      <c r="B45" s="158" t="s">
        <v>88</v>
      </c>
      <c r="C45" s="106"/>
      <c r="D45" s="106" t="e">
        <f>SUMIF(#REF!,A45,#REF!)</f>
        <v>#REF!</v>
      </c>
      <c r="E45" s="106" t="e">
        <f>SUMIF(#REF!,A45,#REF!)</f>
        <v>#REF!</v>
      </c>
      <c r="F45" s="106"/>
      <c r="G45" s="106">
        <f>SUMIF(FY2012AuditReconciliation!$C$5:$C$146,A45,FY2012AuditReconciliation!$K$5:$K$146)</f>
        <v>0</v>
      </c>
      <c r="H45" s="106">
        <v>0</v>
      </c>
      <c r="I45" s="106">
        <f>SUMIF('actual 2014'!$C$5:$C$121,A45,'actual 2014'!$L$5:$L$121)</f>
        <v>0</v>
      </c>
      <c r="J45" s="106">
        <v>0</v>
      </c>
      <c r="K45" s="119">
        <f>+'Line Items explanations'!H67</f>
        <v>900</v>
      </c>
      <c r="L45" s="159">
        <f t="shared" si="1"/>
        <v>1</v>
      </c>
      <c r="M45" s="142">
        <f t="shared" si="6"/>
        <v>225</v>
      </c>
      <c r="N45" s="142">
        <f t="shared" si="6"/>
        <v>225</v>
      </c>
      <c r="O45" s="142">
        <f t="shared" si="6"/>
        <v>225</v>
      </c>
      <c r="P45" s="160">
        <f t="shared" si="6"/>
        <v>225</v>
      </c>
      <c r="Q45" s="143">
        <f t="shared" si="7"/>
        <v>1.0714285714285714</v>
      </c>
      <c r="R45" s="49"/>
      <c r="S45" s="143">
        <f t="shared" si="8"/>
        <v>0</v>
      </c>
      <c r="T45" s="145">
        <f t="shared" si="9"/>
        <v>0</v>
      </c>
      <c r="V45" s="391"/>
      <c r="W45" s="131"/>
      <c r="X45" s="131"/>
      <c r="Y45" s="394"/>
    </row>
    <row r="46" spans="1:25" ht="47.25" x14ac:dyDescent="0.25">
      <c r="A46" s="132">
        <v>4192001</v>
      </c>
      <c r="B46" s="158" t="s">
        <v>103</v>
      </c>
      <c r="C46" s="106"/>
      <c r="D46" s="106" t="e">
        <f>SUMIF(#REF!,A46,#REF!)</f>
        <v>#REF!</v>
      </c>
      <c r="E46" s="106" t="e">
        <f>SUMIF(#REF!,A46,#REF!)</f>
        <v>#REF!</v>
      </c>
      <c r="F46" s="106"/>
      <c r="G46" s="106">
        <f>SUMIF(FY2012AuditReconciliation!$C$5:$C$146,A46,FY2012AuditReconciliation!$K$5:$K$146)</f>
        <v>2761</v>
      </c>
      <c r="H46" s="106">
        <v>1150</v>
      </c>
      <c r="I46" s="106">
        <f>SUMIF('actual 2014'!$C$5:$C$121,A46,'actual 2014'!$L$5:$L$121)</f>
        <v>5160</v>
      </c>
      <c r="J46" s="106">
        <v>1751</v>
      </c>
      <c r="K46" s="119">
        <f>+'Line Items explanations'!H132</f>
        <v>0</v>
      </c>
      <c r="L46" s="159" t="str">
        <f t="shared" si="1"/>
        <v/>
      </c>
      <c r="M46" s="142">
        <f t="shared" si="6"/>
        <v>0</v>
      </c>
      <c r="N46" s="142">
        <f t="shared" si="6"/>
        <v>0</v>
      </c>
      <c r="O46" s="142">
        <f t="shared" si="6"/>
        <v>0</v>
      </c>
      <c r="P46" s="160">
        <f t="shared" si="6"/>
        <v>0</v>
      </c>
      <c r="Q46" s="143">
        <f t="shared" si="7"/>
        <v>0</v>
      </c>
      <c r="R46" s="49">
        <v>4850</v>
      </c>
      <c r="S46" s="143">
        <f t="shared" si="8"/>
        <v>3.1824146981627295</v>
      </c>
      <c r="T46" s="145">
        <f t="shared" si="9"/>
        <v>0</v>
      </c>
      <c r="U46" s="354" t="s">
        <v>515</v>
      </c>
      <c r="V46" s="391"/>
      <c r="W46" s="131"/>
      <c r="X46" s="131"/>
      <c r="Y46" s="394"/>
    </row>
    <row r="47" spans="1:25" x14ac:dyDescent="0.25">
      <c r="A47" s="132">
        <v>4192002</v>
      </c>
      <c r="B47" s="158" t="s">
        <v>104</v>
      </c>
      <c r="C47" s="106"/>
      <c r="D47" s="106" t="e">
        <f>SUMIF(#REF!,A47,#REF!)</f>
        <v>#REF!</v>
      </c>
      <c r="E47" s="106" t="e">
        <f>SUMIF(#REF!,A47,#REF!)</f>
        <v>#REF!</v>
      </c>
      <c r="F47" s="106"/>
      <c r="G47" s="106">
        <f>SUMIF(FY2012AuditReconciliation!$C$5:$C$146,A47,FY2012AuditReconciliation!$K$5:$K$146)</f>
        <v>0</v>
      </c>
      <c r="H47" s="106"/>
      <c r="I47" s="106">
        <f>SUMIF('actual 2014'!$C$5:$C$121,A47,'actual 2014'!$L$5:$L$121)</f>
        <v>0</v>
      </c>
      <c r="J47" s="106"/>
      <c r="K47" s="48"/>
      <c r="L47" s="159" t="str">
        <f t="shared" si="1"/>
        <v/>
      </c>
      <c r="M47" s="142">
        <f t="shared" si="6"/>
        <v>0</v>
      </c>
      <c r="N47" s="142">
        <f t="shared" si="6"/>
        <v>0</v>
      </c>
      <c r="O47" s="142">
        <f t="shared" si="6"/>
        <v>0</v>
      </c>
      <c r="P47" s="160">
        <f t="shared" si="6"/>
        <v>0</v>
      </c>
      <c r="Q47" s="143">
        <f t="shared" si="7"/>
        <v>0</v>
      </c>
      <c r="R47" s="49"/>
      <c r="S47" s="143">
        <f t="shared" si="8"/>
        <v>0</v>
      </c>
      <c r="T47" s="145">
        <f t="shared" si="9"/>
        <v>0</v>
      </c>
      <c r="V47" s="391"/>
      <c r="W47" s="131"/>
      <c r="X47" s="131"/>
      <c r="Y47" s="394"/>
    </row>
    <row r="48" spans="1:25" x14ac:dyDescent="0.25">
      <c r="A48" s="132">
        <v>4190030.02</v>
      </c>
      <c r="B48" s="158" t="s">
        <v>109</v>
      </c>
      <c r="C48" s="106"/>
      <c r="D48" s="106" t="e">
        <f>SUMIF(#REF!,A48,#REF!)</f>
        <v>#REF!</v>
      </c>
      <c r="E48" s="106" t="e">
        <f>SUMIF(#REF!,A48,#REF!)</f>
        <v>#REF!</v>
      </c>
      <c r="F48" s="106"/>
      <c r="G48" s="106">
        <f>SUMIF(FY2012AuditReconciliation!$C$5:$C$146,A48,FY2012AuditReconciliation!$K$5:$K$146)</f>
        <v>0</v>
      </c>
      <c r="H48" s="106"/>
      <c r="I48" s="106">
        <f>SUMIF('actual 2014'!$C$5:$C$121,A48,'actual 2014'!$L$5:$L$121)</f>
        <v>0</v>
      </c>
      <c r="J48" s="106"/>
      <c r="K48" s="48"/>
      <c r="L48" s="159" t="str">
        <f t="shared" si="1"/>
        <v/>
      </c>
      <c r="M48" s="142">
        <f t="shared" si="6"/>
        <v>0</v>
      </c>
      <c r="N48" s="142">
        <f t="shared" si="6"/>
        <v>0</v>
      </c>
      <c r="O48" s="142">
        <f t="shared" si="6"/>
        <v>0</v>
      </c>
      <c r="P48" s="160">
        <f t="shared" si="6"/>
        <v>0</v>
      </c>
      <c r="Q48" s="143">
        <f t="shared" si="7"/>
        <v>0</v>
      </c>
      <c r="R48" s="49"/>
      <c r="S48" s="143">
        <f t="shared" si="8"/>
        <v>0</v>
      </c>
      <c r="T48" s="145">
        <f t="shared" si="9"/>
        <v>0</v>
      </c>
      <c r="V48" s="391"/>
      <c r="W48" s="131"/>
      <c r="X48" s="131"/>
      <c r="Y48" s="394"/>
    </row>
    <row r="49" spans="1:26" x14ac:dyDescent="0.25">
      <c r="A49" s="132">
        <v>4190049.02</v>
      </c>
      <c r="B49" s="158" t="s">
        <v>110</v>
      </c>
      <c r="C49" s="106"/>
      <c r="D49" s="106" t="e">
        <f>SUMIF(#REF!,A49,#REF!)</f>
        <v>#REF!</v>
      </c>
      <c r="E49" s="106" t="e">
        <f>SUMIF(#REF!,A49,#REF!)</f>
        <v>#REF!</v>
      </c>
      <c r="F49" s="106"/>
      <c r="G49" s="106">
        <f>SUMIF(FY2012AuditReconciliation!$C$5:$C$146,A49,FY2012AuditReconciliation!$K$5:$K$146)</f>
        <v>0</v>
      </c>
      <c r="H49" s="106">
        <v>138</v>
      </c>
      <c r="I49" s="106">
        <f>SUMIF('actual 2014'!$C$5:$C$121,A49,'actual 2014'!$L$5:$L$121)</f>
        <v>0</v>
      </c>
      <c r="J49" s="106">
        <v>138</v>
      </c>
      <c r="K49" s="119">
        <f>+'Line Items explanations'!H137</f>
        <v>0</v>
      </c>
      <c r="L49" s="159" t="str">
        <f t="shared" si="1"/>
        <v/>
      </c>
      <c r="M49" s="142">
        <f t="shared" si="6"/>
        <v>0</v>
      </c>
      <c r="N49" s="142">
        <f t="shared" si="6"/>
        <v>0</v>
      </c>
      <c r="O49" s="142">
        <f t="shared" si="6"/>
        <v>0</v>
      </c>
      <c r="P49" s="160">
        <f t="shared" si="6"/>
        <v>0</v>
      </c>
      <c r="Q49" s="143">
        <f t="shared" si="7"/>
        <v>0</v>
      </c>
      <c r="R49" s="49">
        <v>250</v>
      </c>
      <c r="S49" s="143">
        <f t="shared" si="8"/>
        <v>0.16404199475065617</v>
      </c>
      <c r="T49" s="145">
        <f t="shared" si="9"/>
        <v>0</v>
      </c>
      <c r="V49" s="391"/>
      <c r="W49" s="131"/>
      <c r="X49" s="131"/>
      <c r="Y49" s="394"/>
    </row>
    <row r="50" spans="1:26" s="179" customFormat="1" x14ac:dyDescent="0.25">
      <c r="A50" s="163" t="s">
        <v>96</v>
      </c>
      <c r="B50" s="177" t="s">
        <v>10</v>
      </c>
      <c r="C50" s="110">
        <f t="shared" ref="C50:S50" si="10">SUM(C23:C49)</f>
        <v>0</v>
      </c>
      <c r="D50" s="110" t="e">
        <f t="shared" si="10"/>
        <v>#REF!</v>
      </c>
      <c r="E50" s="110" t="e">
        <f t="shared" si="10"/>
        <v>#REF!</v>
      </c>
      <c r="F50" s="110"/>
      <c r="G50" s="110">
        <f t="shared" si="10"/>
        <v>159183</v>
      </c>
      <c r="H50" s="110">
        <f>SUM(H23:H49)</f>
        <v>168384</v>
      </c>
      <c r="I50" s="121">
        <f>SUM(I23:I49)</f>
        <v>302977</v>
      </c>
      <c r="J50" s="121">
        <f>SUM(J23:J49)</f>
        <v>181020.45</v>
      </c>
      <c r="K50" s="121">
        <f>SUM(K23:K49)</f>
        <v>24339</v>
      </c>
      <c r="L50" s="352">
        <f t="shared" si="1"/>
        <v>-0.86554557786150677</v>
      </c>
      <c r="M50" s="110">
        <f t="shared" si="10"/>
        <v>6084.75</v>
      </c>
      <c r="N50" s="110">
        <f t="shared" si="10"/>
        <v>6084.75</v>
      </c>
      <c r="O50" s="110">
        <f t="shared" si="10"/>
        <v>6084.75</v>
      </c>
      <c r="P50" s="178">
        <f t="shared" si="10"/>
        <v>6084.75</v>
      </c>
      <c r="Q50" s="110">
        <f t="shared" si="10"/>
        <v>28.975000000000001</v>
      </c>
      <c r="R50" s="110">
        <f t="shared" si="10"/>
        <v>342819</v>
      </c>
      <c r="S50" s="110">
        <f t="shared" si="10"/>
        <v>224.94685039370074</v>
      </c>
      <c r="T50" s="166">
        <f t="shared" si="9"/>
        <v>7.099664837713196E-2</v>
      </c>
      <c r="U50" s="354"/>
      <c r="V50" s="391"/>
      <c r="W50" s="181"/>
      <c r="X50" s="181"/>
      <c r="Y50" s="399"/>
      <c r="Z50" s="400"/>
    </row>
    <row r="51" spans="1:26" x14ac:dyDescent="0.25">
      <c r="B51" s="176"/>
      <c r="C51" s="111"/>
      <c r="D51" s="111"/>
      <c r="E51" s="111"/>
      <c r="F51" s="111"/>
      <c r="G51" s="111"/>
      <c r="H51" s="111"/>
      <c r="I51" s="111"/>
      <c r="J51" s="111"/>
      <c r="K51" s="48"/>
      <c r="L51" s="159" t="str">
        <f t="shared" si="1"/>
        <v/>
      </c>
      <c r="M51" s="170"/>
      <c r="N51" s="170"/>
      <c r="O51" s="170"/>
      <c r="P51" s="171"/>
      <c r="Q51" s="170"/>
      <c r="R51" s="172"/>
      <c r="S51" s="170"/>
      <c r="T51" s="173"/>
      <c r="V51" s="391"/>
      <c r="W51" s="131"/>
      <c r="X51" s="131"/>
      <c r="Y51" s="394"/>
    </row>
    <row r="52" spans="1:26" x14ac:dyDescent="0.25">
      <c r="B52" s="168" t="s">
        <v>11</v>
      </c>
      <c r="C52" s="112"/>
      <c r="D52" s="112"/>
      <c r="E52" s="112"/>
      <c r="F52" s="112"/>
      <c r="G52" s="112"/>
      <c r="H52" s="112"/>
      <c r="I52" s="112"/>
      <c r="J52" s="112"/>
      <c r="K52" s="48"/>
      <c r="L52" s="159" t="str">
        <f t="shared" si="1"/>
        <v/>
      </c>
      <c r="M52" s="142">
        <f t="shared" ref="M52:M61" si="11">+K52/4</f>
        <v>0</v>
      </c>
      <c r="N52" s="142">
        <f t="shared" ref="N52:P68" si="12">+$K52/4</f>
        <v>0</v>
      </c>
      <c r="O52" s="142">
        <f t="shared" si="12"/>
        <v>0</v>
      </c>
      <c r="P52" s="160">
        <f t="shared" si="12"/>
        <v>0</v>
      </c>
      <c r="Q52" s="143">
        <f t="shared" ref="Q52:Q68" si="13">IF(K52=0,0,K52/$K$5/12)</f>
        <v>0</v>
      </c>
      <c r="R52" s="49">
        <v>0</v>
      </c>
      <c r="S52" s="143">
        <f t="shared" ref="S52:S68" si="14">IF(R52=0,0,R52/$K$4/12)</f>
        <v>0</v>
      </c>
      <c r="T52" s="145">
        <f t="shared" ref="T52:T69" si="15">IF(R52=0,0,(K52/R52))</f>
        <v>0</v>
      </c>
      <c r="V52" s="391"/>
      <c r="W52" s="131"/>
      <c r="X52" s="131"/>
      <c r="Y52" s="394"/>
    </row>
    <row r="53" spans="1:26" x14ac:dyDescent="0.25">
      <c r="A53" s="180">
        <v>4410024</v>
      </c>
      <c r="B53" s="176" t="s">
        <v>12</v>
      </c>
      <c r="C53" s="106">
        <v>0</v>
      </c>
      <c r="D53" s="106" t="e">
        <f>SUMIF(#REF!,A53,#REF!)</f>
        <v>#REF!</v>
      </c>
      <c r="E53" s="106" t="e">
        <f>SUMIF(#REF!,A53,#REF!)</f>
        <v>#REF!</v>
      </c>
      <c r="F53" s="106"/>
      <c r="G53" s="106">
        <f>SUMIF(FY2012AuditReconciliation!$C$5:$C$146,A53,FY2012AuditReconciliation!$K$5:$K$146)</f>
        <v>54794</v>
      </c>
      <c r="H53" s="106">
        <v>56586</v>
      </c>
      <c r="I53" s="106">
        <f>SUMIF('actual 2014'!$C$5:$C$121,A53,'actual 2014'!$L$5:$L$121)</f>
        <v>109047</v>
      </c>
      <c r="J53" s="106">
        <v>54506.650000000009</v>
      </c>
      <c r="K53" s="119">
        <f>+'Compensation Details'!F43</f>
        <v>0</v>
      </c>
      <c r="L53" s="159" t="str">
        <f t="shared" si="1"/>
        <v/>
      </c>
      <c r="M53" s="142">
        <f t="shared" si="11"/>
        <v>0</v>
      </c>
      <c r="N53" s="142">
        <f t="shared" si="12"/>
        <v>0</v>
      </c>
      <c r="O53" s="142">
        <f t="shared" si="12"/>
        <v>0</v>
      </c>
      <c r="P53" s="160">
        <f t="shared" si="12"/>
        <v>0</v>
      </c>
      <c r="Q53" s="143">
        <f t="shared" si="13"/>
        <v>0</v>
      </c>
      <c r="R53" s="49">
        <v>101194</v>
      </c>
      <c r="S53" s="143">
        <f t="shared" si="14"/>
        <v>66.40026246719161</v>
      </c>
      <c r="T53" s="145">
        <f t="shared" si="15"/>
        <v>0</v>
      </c>
      <c r="V53" s="391"/>
      <c r="W53" s="131"/>
      <c r="X53" s="131"/>
      <c r="Y53" s="394"/>
    </row>
    <row r="54" spans="1:26" x14ac:dyDescent="0.25">
      <c r="A54" s="132">
        <v>4420001.01</v>
      </c>
      <c r="B54" s="176" t="s">
        <v>13</v>
      </c>
      <c r="C54" s="106">
        <v>0</v>
      </c>
      <c r="D54" s="106" t="e">
        <f>SUMIF(#REF!,A54,#REF!)</f>
        <v>#REF!</v>
      </c>
      <c r="E54" s="106" t="e">
        <f>SUMIF(#REF!,A54,#REF!)</f>
        <v>#REF!</v>
      </c>
      <c r="F54" s="106"/>
      <c r="G54" s="106">
        <f>SUMIF(FY2012AuditReconciliation!$C$5:$C$146,A54,FY2012AuditReconciliation!$K$5:$K$146)</f>
        <v>4289</v>
      </c>
      <c r="H54" s="106">
        <v>2710</v>
      </c>
      <c r="I54" s="106">
        <f>SUMIF('actual 2014'!$C$5:$C$121,A54,'actual 2014'!$L$5:$L$121)</f>
        <v>6863</v>
      </c>
      <c r="J54" s="106">
        <v>4290</v>
      </c>
      <c r="K54" s="119">
        <f>+'Line Items explanations'!H173</f>
        <v>221448</v>
      </c>
      <c r="L54" s="159">
        <f t="shared" si="1"/>
        <v>50.619580419580423</v>
      </c>
      <c r="M54" s="142">
        <f t="shared" si="11"/>
        <v>55362</v>
      </c>
      <c r="N54" s="142">
        <f t="shared" si="12"/>
        <v>55362</v>
      </c>
      <c r="O54" s="142">
        <f t="shared" si="12"/>
        <v>55362</v>
      </c>
      <c r="P54" s="160">
        <f t="shared" si="12"/>
        <v>55362</v>
      </c>
      <c r="Q54" s="143">
        <f t="shared" si="13"/>
        <v>263.62857142857143</v>
      </c>
      <c r="R54" s="49">
        <v>7500</v>
      </c>
      <c r="S54" s="143">
        <f t="shared" si="14"/>
        <v>4.9212598425196852</v>
      </c>
      <c r="T54" s="145">
        <f t="shared" si="15"/>
        <v>29.526399999999999</v>
      </c>
      <c r="V54" s="391"/>
      <c r="W54" s="131"/>
      <c r="X54" s="131"/>
      <c r="Y54" s="394"/>
    </row>
    <row r="55" spans="1:26" x14ac:dyDescent="0.25">
      <c r="A55" s="132">
        <v>4420001.0199999996</v>
      </c>
      <c r="B55" s="176" t="s">
        <v>14</v>
      </c>
      <c r="C55" s="106">
        <v>0</v>
      </c>
      <c r="D55" s="106" t="e">
        <f>SUMIF(#REF!,A55,#REF!)</f>
        <v>#REF!</v>
      </c>
      <c r="E55" s="106" t="e">
        <f>SUMIF(#REF!,A55,#REF!)</f>
        <v>#REF!</v>
      </c>
      <c r="F55" s="106"/>
      <c r="G55" s="106">
        <f>SUMIF(FY2012AuditReconciliation!$C$5:$C$146,A55,FY2012AuditReconciliation!$K$5:$K$146)</f>
        <v>0</v>
      </c>
      <c r="H55" s="106">
        <v>0</v>
      </c>
      <c r="I55" s="106">
        <f>SUMIF('actual 2014'!$C$5:$C$121,A55,'actual 2014'!$L$5:$L$121)</f>
        <v>0</v>
      </c>
      <c r="J55" s="106">
        <v>0</v>
      </c>
      <c r="K55" s="119">
        <f>+'Line Items explanations'!H178</f>
        <v>720</v>
      </c>
      <c r="L55" s="159">
        <f t="shared" si="1"/>
        <v>1</v>
      </c>
      <c r="M55" s="142">
        <f t="shared" si="11"/>
        <v>180</v>
      </c>
      <c r="N55" s="142">
        <f t="shared" si="12"/>
        <v>180</v>
      </c>
      <c r="O55" s="142">
        <f t="shared" si="12"/>
        <v>180</v>
      </c>
      <c r="P55" s="160">
        <f t="shared" si="12"/>
        <v>180</v>
      </c>
      <c r="Q55" s="143">
        <f t="shared" si="13"/>
        <v>0.85714285714285721</v>
      </c>
      <c r="R55" s="49"/>
      <c r="S55" s="143">
        <f t="shared" si="14"/>
        <v>0</v>
      </c>
      <c r="T55" s="145">
        <f t="shared" si="15"/>
        <v>0</v>
      </c>
      <c r="V55" s="391"/>
      <c r="W55" s="131"/>
      <c r="X55" s="131"/>
      <c r="Y55" s="394"/>
    </row>
    <row r="56" spans="1:26" x14ac:dyDescent="0.25">
      <c r="A56" s="132">
        <v>4430008</v>
      </c>
      <c r="B56" s="176" t="s">
        <v>15</v>
      </c>
      <c r="C56" s="106">
        <v>0</v>
      </c>
      <c r="D56" s="106" t="e">
        <f>SUMIF(#REF!,A56,#REF!)</f>
        <v>#REF!</v>
      </c>
      <c r="E56" s="106" t="e">
        <f>SUMIF(#REF!,A56,#REF!)</f>
        <v>#REF!</v>
      </c>
      <c r="F56" s="106"/>
      <c r="G56" s="106">
        <f>SUMIF(FY2012AuditReconciliation!$C$5:$C$146,A56,FY2012AuditReconciliation!$K$5:$K$146)</f>
        <v>0</v>
      </c>
      <c r="H56" s="106">
        <v>0</v>
      </c>
      <c r="I56" s="106">
        <f>SUMIF('actual 2014'!$C$5:$C$121,A56,'actual 2014'!$L$5:$L$121)</f>
        <v>958</v>
      </c>
      <c r="J56" s="106">
        <v>0</v>
      </c>
      <c r="K56" s="119">
        <f>+'Line Items explanations'!H183</f>
        <v>0</v>
      </c>
      <c r="L56" s="159" t="str">
        <f t="shared" si="1"/>
        <v/>
      </c>
      <c r="M56" s="142">
        <f t="shared" si="11"/>
        <v>0</v>
      </c>
      <c r="N56" s="142">
        <f t="shared" si="12"/>
        <v>0</v>
      </c>
      <c r="O56" s="142">
        <f t="shared" si="12"/>
        <v>0</v>
      </c>
      <c r="P56" s="160">
        <f t="shared" si="12"/>
        <v>0</v>
      </c>
      <c r="Q56" s="143">
        <f t="shared" si="13"/>
        <v>0</v>
      </c>
      <c r="R56" s="49">
        <v>500</v>
      </c>
      <c r="S56" s="143">
        <f t="shared" si="14"/>
        <v>0.32808398950131235</v>
      </c>
      <c r="T56" s="145">
        <f t="shared" si="15"/>
        <v>0</v>
      </c>
      <c r="V56" s="391"/>
      <c r="W56" s="131"/>
      <c r="X56" s="131"/>
      <c r="Y56" s="394"/>
    </row>
    <row r="57" spans="1:26" x14ac:dyDescent="0.25">
      <c r="A57" s="132">
        <v>4430013</v>
      </c>
      <c r="B57" s="176" t="s">
        <v>16</v>
      </c>
      <c r="C57" s="106">
        <v>0</v>
      </c>
      <c r="D57" s="106" t="e">
        <f>SUMIF(#REF!,A57,#REF!)</f>
        <v>#REF!</v>
      </c>
      <c r="E57" s="106" t="e">
        <f>SUMIF(#REF!,A57,#REF!)</f>
        <v>#REF!</v>
      </c>
      <c r="F57" s="106"/>
      <c r="G57" s="106">
        <f>SUMIF(FY2012AuditReconciliation!$C$5:$C$146,A57,FY2012AuditReconciliation!$K$5:$K$146)</f>
        <v>5938</v>
      </c>
      <c r="H57" s="106">
        <v>4675</v>
      </c>
      <c r="I57" s="106">
        <f>SUMIF('actual 2014'!$C$5:$C$121,A57,'actual 2014'!$L$5:$L$121)</f>
        <v>12955</v>
      </c>
      <c r="J57" s="106">
        <v>8925</v>
      </c>
      <c r="K57" s="119">
        <f>+'Line Items explanations'!H188</f>
        <v>0</v>
      </c>
      <c r="L57" s="159" t="str">
        <f t="shared" si="1"/>
        <v/>
      </c>
      <c r="M57" s="142">
        <f t="shared" si="11"/>
        <v>0</v>
      </c>
      <c r="N57" s="142">
        <f t="shared" si="12"/>
        <v>0</v>
      </c>
      <c r="O57" s="142">
        <f t="shared" si="12"/>
        <v>0</v>
      </c>
      <c r="P57" s="160">
        <f t="shared" si="12"/>
        <v>0</v>
      </c>
      <c r="Q57" s="143">
        <f t="shared" si="13"/>
        <v>0</v>
      </c>
      <c r="R57" s="49">
        <f>8100+3500+1800</f>
        <v>13400</v>
      </c>
      <c r="S57" s="143">
        <f t="shared" si="14"/>
        <v>8.7926509186351698</v>
      </c>
      <c r="T57" s="145">
        <f t="shared" si="15"/>
        <v>0</v>
      </c>
      <c r="V57" s="391"/>
      <c r="W57" s="131"/>
      <c r="X57" s="131"/>
      <c r="Y57" s="394"/>
    </row>
    <row r="58" spans="1:26" x14ac:dyDescent="0.25">
      <c r="A58" s="132">
        <v>4430003</v>
      </c>
      <c r="B58" s="176" t="s">
        <v>17</v>
      </c>
      <c r="C58" s="106"/>
      <c r="D58" s="106" t="e">
        <f>SUMIF(#REF!,A58,#REF!)</f>
        <v>#REF!</v>
      </c>
      <c r="E58" s="106" t="e">
        <f>SUMIF(#REF!,A58,#REF!)</f>
        <v>#REF!</v>
      </c>
      <c r="F58" s="106"/>
      <c r="G58" s="106">
        <f>SUMIF(FY2012AuditReconciliation!$C$5:$C$146,A58,FY2012AuditReconciliation!$K$5:$K$146)</f>
        <v>10451</v>
      </c>
      <c r="H58" s="106">
        <v>10279</v>
      </c>
      <c r="I58" s="106">
        <f>SUMIF('actual 2014'!$C$5:$C$121,A58,'actual 2014'!$L$5:$L$121)</f>
        <v>17930</v>
      </c>
      <c r="J58" s="106">
        <v>9016.98</v>
      </c>
      <c r="K58" s="119">
        <f>+'Line Items explanations'!H193</f>
        <v>0</v>
      </c>
      <c r="L58" s="159" t="str">
        <f t="shared" si="1"/>
        <v/>
      </c>
      <c r="M58" s="142">
        <f t="shared" si="11"/>
        <v>0</v>
      </c>
      <c r="N58" s="142">
        <f t="shared" si="12"/>
        <v>0</v>
      </c>
      <c r="O58" s="142">
        <f t="shared" si="12"/>
        <v>0</v>
      </c>
      <c r="P58" s="160">
        <f t="shared" si="12"/>
        <v>0</v>
      </c>
      <c r="Q58" s="143">
        <f t="shared" si="13"/>
        <v>0</v>
      </c>
      <c r="R58" s="49">
        <v>16854</v>
      </c>
      <c r="S58" s="143">
        <f t="shared" si="14"/>
        <v>11.059055118110237</v>
      </c>
      <c r="T58" s="145">
        <f t="shared" si="15"/>
        <v>0</v>
      </c>
      <c r="V58" s="391"/>
      <c r="W58" s="131"/>
      <c r="X58" s="131"/>
      <c r="Y58" s="394"/>
    </row>
    <row r="59" spans="1:26" x14ac:dyDescent="0.25">
      <c r="A59" s="132">
        <v>4430022.01</v>
      </c>
      <c r="B59" s="176" t="s">
        <v>18</v>
      </c>
      <c r="C59" s="106"/>
      <c r="D59" s="106" t="e">
        <f>SUMIF(#REF!,A59,#REF!)</f>
        <v>#REF!</v>
      </c>
      <c r="E59" s="106" t="e">
        <f>SUMIF(#REF!,A59,#REF!)</f>
        <v>#REF!</v>
      </c>
      <c r="F59" s="106"/>
      <c r="G59" s="106">
        <f>SUMIF(FY2012AuditReconciliation!$C$5:$C$146,A59,FY2012AuditReconciliation!$K$5:$K$146)</f>
        <v>0</v>
      </c>
      <c r="H59" s="106">
        <v>0</v>
      </c>
      <c r="I59" s="106">
        <f>SUMIF('actual 2014'!$C$5:$C$121,A59,'actual 2014'!$L$5:$L$121)</f>
        <v>0</v>
      </c>
      <c r="J59" s="106">
        <v>0</v>
      </c>
      <c r="K59" s="119">
        <f>+'Line Items explanations'!H198</f>
        <v>0</v>
      </c>
      <c r="L59" s="159" t="str">
        <f t="shared" si="1"/>
        <v/>
      </c>
      <c r="M59" s="142">
        <f t="shared" si="11"/>
        <v>0</v>
      </c>
      <c r="N59" s="142">
        <f t="shared" si="12"/>
        <v>0</v>
      </c>
      <c r="O59" s="142">
        <f t="shared" si="12"/>
        <v>0</v>
      </c>
      <c r="P59" s="160">
        <f t="shared" si="12"/>
        <v>0</v>
      </c>
      <c r="Q59" s="143">
        <f t="shared" si="13"/>
        <v>0</v>
      </c>
      <c r="R59" s="49"/>
      <c r="S59" s="143">
        <f t="shared" si="14"/>
        <v>0</v>
      </c>
      <c r="T59" s="145">
        <f t="shared" si="15"/>
        <v>0</v>
      </c>
      <c r="V59" s="391"/>
      <c r="W59" s="131"/>
      <c r="X59" s="131"/>
      <c r="Y59" s="394"/>
    </row>
    <row r="60" spans="1:26" x14ac:dyDescent="0.25">
      <c r="A60" s="132">
        <v>4430103</v>
      </c>
      <c r="B60" s="176" t="s">
        <v>52</v>
      </c>
      <c r="C60" s="106"/>
      <c r="D60" s="106" t="e">
        <f>SUMIF(#REF!,A60,#REF!)</f>
        <v>#REF!</v>
      </c>
      <c r="E60" s="106" t="e">
        <f>SUMIF(#REF!,A60,#REF!)</f>
        <v>#REF!</v>
      </c>
      <c r="F60" s="106"/>
      <c r="G60" s="106">
        <f>SUMIF(FY2012AuditReconciliation!$C$5:$C$146,A60,FY2012AuditReconciliation!$K$5:$K$146)</f>
        <v>4255</v>
      </c>
      <c r="H60" s="106">
        <v>0</v>
      </c>
      <c r="I60" s="106">
        <f>SUMIF('actual 2014'!$C$5:$C$121,A60,'actual 2014'!$L$5:$L$121)</f>
        <v>12006</v>
      </c>
      <c r="J60" s="106">
        <v>0</v>
      </c>
      <c r="K60" s="48">
        <v>0</v>
      </c>
      <c r="L60" s="159" t="str">
        <f t="shared" si="1"/>
        <v/>
      </c>
      <c r="M60" s="142">
        <f t="shared" si="11"/>
        <v>0</v>
      </c>
      <c r="N60" s="142">
        <f t="shared" si="12"/>
        <v>0</v>
      </c>
      <c r="O60" s="142">
        <f t="shared" si="12"/>
        <v>0</v>
      </c>
      <c r="P60" s="160">
        <f t="shared" si="12"/>
        <v>0</v>
      </c>
      <c r="Q60" s="143">
        <f t="shared" si="13"/>
        <v>0</v>
      </c>
      <c r="R60" s="49"/>
      <c r="S60" s="143">
        <f t="shared" si="14"/>
        <v>0</v>
      </c>
      <c r="T60" s="145">
        <f t="shared" si="15"/>
        <v>0</v>
      </c>
      <c r="V60" s="391"/>
      <c r="W60" s="131"/>
      <c r="X60" s="131"/>
      <c r="Y60" s="394"/>
    </row>
    <row r="61" spans="1:26" x14ac:dyDescent="0.25">
      <c r="A61" s="132">
        <v>4410029.01</v>
      </c>
      <c r="B61" s="176" t="s">
        <v>111</v>
      </c>
      <c r="C61" s="106"/>
      <c r="D61" s="106" t="e">
        <f>SUMIF(#REF!,A61,#REF!)</f>
        <v>#REF!</v>
      </c>
      <c r="E61" s="106" t="e">
        <f>SUMIF(#REF!,A61,#REF!)</f>
        <v>#REF!</v>
      </c>
      <c r="F61" s="106"/>
      <c r="G61" s="106">
        <f>SUMIF(FY2012AuditReconciliation!$C$5:$C$146,A61,FY2012AuditReconciliation!$K$5:$K$146)</f>
        <v>0</v>
      </c>
      <c r="H61" s="106">
        <v>0</v>
      </c>
      <c r="I61" s="106">
        <f>SUMIF('actual 2014'!$C$5:$C$121,A61,'actual 2014'!$L$5:$L$121)</f>
        <v>0</v>
      </c>
      <c r="J61" s="106">
        <v>0</v>
      </c>
      <c r="K61" s="48">
        <v>0</v>
      </c>
      <c r="L61" s="159" t="str">
        <f t="shared" si="1"/>
        <v/>
      </c>
      <c r="M61" s="142">
        <f t="shared" si="11"/>
        <v>0</v>
      </c>
      <c r="N61" s="142">
        <f t="shared" si="12"/>
        <v>0</v>
      </c>
      <c r="O61" s="142">
        <f t="shared" si="12"/>
        <v>0</v>
      </c>
      <c r="P61" s="160">
        <f t="shared" si="12"/>
        <v>0</v>
      </c>
      <c r="Q61" s="143">
        <f t="shared" si="13"/>
        <v>0</v>
      </c>
      <c r="R61" s="49"/>
      <c r="S61" s="143">
        <f t="shared" si="14"/>
        <v>0</v>
      </c>
      <c r="T61" s="145">
        <f t="shared" si="15"/>
        <v>0</v>
      </c>
      <c r="V61" s="391"/>
      <c r="W61" s="131"/>
      <c r="X61" s="131"/>
      <c r="Y61" s="394"/>
    </row>
    <row r="62" spans="1:26" x14ac:dyDescent="0.25">
      <c r="A62" s="132">
        <v>4430022.0199999996</v>
      </c>
      <c r="B62" s="158" t="s">
        <v>108</v>
      </c>
      <c r="C62" s="106"/>
      <c r="D62" s="106" t="e">
        <f>SUMIF(#REF!,A62,#REF!)</f>
        <v>#REF!</v>
      </c>
      <c r="E62" s="106" t="e">
        <f>SUMIF(#REF!,A62,#REF!)</f>
        <v>#REF!</v>
      </c>
      <c r="F62" s="106"/>
      <c r="G62" s="106">
        <f>SUMIF(FY2012AuditReconciliation!$C$5:$C$146,A62,FY2012AuditReconciliation!$K$5:$K$146)</f>
        <v>0</v>
      </c>
      <c r="H62" s="106">
        <v>0</v>
      </c>
      <c r="I62" s="106">
        <f>SUMIF('actual 2014'!$C$5:$C$121,A62,'actual 2014'!$L$5:$L$121)</f>
        <v>0</v>
      </c>
      <c r="J62" s="106">
        <v>0</v>
      </c>
      <c r="K62" s="48">
        <v>0</v>
      </c>
      <c r="L62" s="159" t="str">
        <f t="shared" si="1"/>
        <v/>
      </c>
      <c r="M62" s="142">
        <f t="shared" ref="M62:M68" si="16">+$K62/4</f>
        <v>0</v>
      </c>
      <c r="N62" s="142">
        <f t="shared" si="12"/>
        <v>0</v>
      </c>
      <c r="O62" s="142">
        <f t="shared" si="12"/>
        <v>0</v>
      </c>
      <c r="P62" s="160">
        <f t="shared" si="12"/>
        <v>0</v>
      </c>
      <c r="Q62" s="143">
        <f t="shared" si="13"/>
        <v>0</v>
      </c>
      <c r="R62" s="49"/>
      <c r="S62" s="143">
        <f t="shared" si="14"/>
        <v>0</v>
      </c>
      <c r="T62" s="145">
        <f t="shared" si="15"/>
        <v>0</v>
      </c>
      <c r="V62" s="391"/>
      <c r="W62" s="131"/>
      <c r="X62" s="131"/>
      <c r="Y62" s="394"/>
    </row>
    <row r="63" spans="1:26" x14ac:dyDescent="0.25">
      <c r="A63" s="132">
        <v>4430022.03</v>
      </c>
      <c r="B63" s="158" t="s">
        <v>113</v>
      </c>
      <c r="C63" s="106"/>
      <c r="D63" s="106" t="e">
        <f>SUMIF(#REF!,A63,#REF!)</f>
        <v>#REF!</v>
      </c>
      <c r="E63" s="106" t="e">
        <f>SUMIF(#REF!,A63,#REF!)</f>
        <v>#REF!</v>
      </c>
      <c r="F63" s="106"/>
      <c r="G63" s="106">
        <f>SUMIF(FY2012AuditReconciliation!$C$5:$C$146,A63,FY2012AuditReconciliation!$K$5:$K$146)</f>
        <v>0</v>
      </c>
      <c r="H63" s="106">
        <v>0</v>
      </c>
      <c r="I63" s="106">
        <f>SUMIF('actual 2014'!$C$5:$C$121,A63,'actual 2014'!$L$5:$L$121)</f>
        <v>1273</v>
      </c>
      <c r="J63" s="106">
        <v>0</v>
      </c>
      <c r="K63" s="48">
        <v>660</v>
      </c>
      <c r="L63" s="159">
        <f t="shared" si="1"/>
        <v>1</v>
      </c>
      <c r="M63" s="142">
        <f t="shared" si="16"/>
        <v>165</v>
      </c>
      <c r="N63" s="142">
        <f t="shared" si="12"/>
        <v>165</v>
      </c>
      <c r="O63" s="142">
        <f t="shared" si="12"/>
        <v>165</v>
      </c>
      <c r="P63" s="160">
        <f t="shared" si="12"/>
        <v>165</v>
      </c>
      <c r="Q63" s="143">
        <f t="shared" si="13"/>
        <v>0.7857142857142857</v>
      </c>
      <c r="R63" s="49">
        <v>1250</v>
      </c>
      <c r="S63" s="143">
        <f t="shared" si="14"/>
        <v>0.82020997375328086</v>
      </c>
      <c r="T63" s="145">
        <f t="shared" si="15"/>
        <v>0.52800000000000002</v>
      </c>
      <c r="V63" s="391"/>
      <c r="W63" s="131"/>
      <c r="X63" s="131"/>
      <c r="Y63" s="394"/>
    </row>
    <row r="64" spans="1:26" ht="126" x14ac:dyDescent="0.25">
      <c r="B64" s="158" t="s">
        <v>53</v>
      </c>
      <c r="C64" s="106"/>
      <c r="D64" s="106" t="e">
        <f>SUMIF(#REF!,A64,#REF!)</f>
        <v>#REF!</v>
      </c>
      <c r="E64" s="106" t="e">
        <f>SUMIF(#REF!,A64,#REF!)</f>
        <v>#REF!</v>
      </c>
      <c r="F64" s="106"/>
      <c r="G64" s="106">
        <f>SUMIF(FY2012AuditReconciliation!$C$5:$C$146,A64,FY2012AuditReconciliation!$K$5:$K$146)</f>
        <v>0</v>
      </c>
      <c r="H64" s="106">
        <v>0</v>
      </c>
      <c r="I64" s="106">
        <f>SUMIF('actual 2014'!$C$5:$C$121,A64,'actual 2014'!$L$5:$L$121)</f>
        <v>0</v>
      </c>
      <c r="J64" s="106">
        <v>2475</v>
      </c>
      <c r="K64" s="48"/>
      <c r="L64" s="159" t="str">
        <f t="shared" si="1"/>
        <v/>
      </c>
      <c r="M64" s="142">
        <f t="shared" si="16"/>
        <v>0</v>
      </c>
      <c r="N64" s="142">
        <f t="shared" si="12"/>
        <v>0</v>
      </c>
      <c r="O64" s="142">
        <f t="shared" si="12"/>
        <v>0</v>
      </c>
      <c r="P64" s="160">
        <f t="shared" si="12"/>
        <v>0</v>
      </c>
      <c r="Q64" s="143">
        <f t="shared" si="13"/>
        <v>0</v>
      </c>
      <c r="R64" s="49"/>
      <c r="S64" s="143">
        <f t="shared" si="14"/>
        <v>0</v>
      </c>
      <c r="T64" s="145">
        <f t="shared" si="15"/>
        <v>0</v>
      </c>
      <c r="U64" s="354" t="s">
        <v>518</v>
      </c>
      <c r="V64" s="391" t="s">
        <v>530</v>
      </c>
      <c r="W64" s="391" t="s">
        <v>531</v>
      </c>
      <c r="X64" s="131"/>
      <c r="Y64" s="394"/>
    </row>
    <row r="65" spans="1:26" hidden="1" x14ac:dyDescent="0.25">
      <c r="B65" s="158" t="s">
        <v>53</v>
      </c>
      <c r="C65" s="106"/>
      <c r="D65" s="106" t="e">
        <f>SUMIF(#REF!,A65,#REF!)</f>
        <v>#REF!</v>
      </c>
      <c r="E65" s="106" t="e">
        <f>SUMIF(#REF!,A65,#REF!)</f>
        <v>#REF!</v>
      </c>
      <c r="F65" s="106"/>
      <c r="G65" s="106">
        <f>SUMIF(FY2012AuditReconciliation!$C$5:$C$146,A65,FY2012AuditReconciliation!$K$5:$K$146)</f>
        <v>0</v>
      </c>
      <c r="H65" s="106">
        <v>0</v>
      </c>
      <c r="I65" s="106">
        <v>0</v>
      </c>
      <c r="J65" s="106">
        <v>0</v>
      </c>
      <c r="K65" s="48">
        <v>0</v>
      </c>
      <c r="L65" s="159" t="str">
        <f t="shared" si="1"/>
        <v/>
      </c>
      <c r="M65" s="142">
        <f t="shared" si="16"/>
        <v>0</v>
      </c>
      <c r="N65" s="142">
        <f t="shared" si="12"/>
        <v>0</v>
      </c>
      <c r="O65" s="142">
        <f t="shared" si="12"/>
        <v>0</v>
      </c>
      <c r="P65" s="160">
        <f t="shared" si="12"/>
        <v>0</v>
      </c>
      <c r="Q65" s="143">
        <f t="shared" si="13"/>
        <v>0</v>
      </c>
      <c r="R65" s="49"/>
      <c r="S65" s="143">
        <f t="shared" si="14"/>
        <v>0</v>
      </c>
      <c r="T65" s="145">
        <f t="shared" si="15"/>
        <v>0</v>
      </c>
      <c r="V65" s="391"/>
      <c r="W65" s="131"/>
      <c r="X65" s="131"/>
      <c r="Y65" s="394"/>
    </row>
    <row r="66" spans="1:26" hidden="1" x14ac:dyDescent="0.25">
      <c r="B66" s="158" t="s">
        <v>53</v>
      </c>
      <c r="C66" s="106"/>
      <c r="D66" s="106" t="e">
        <f>SUMIF(#REF!,A66,#REF!)</f>
        <v>#REF!</v>
      </c>
      <c r="E66" s="106" t="e">
        <f>SUMIF(#REF!,A66,#REF!)</f>
        <v>#REF!</v>
      </c>
      <c r="F66" s="106"/>
      <c r="G66" s="106">
        <f>SUMIF(FY2012AuditReconciliation!$C$5:$C$146,A66,FY2012AuditReconciliation!$K$5:$K$146)</f>
        <v>0</v>
      </c>
      <c r="H66" s="106">
        <v>0</v>
      </c>
      <c r="I66" s="106">
        <v>0</v>
      </c>
      <c r="J66" s="106">
        <v>0</v>
      </c>
      <c r="K66" s="48">
        <v>0</v>
      </c>
      <c r="L66" s="159" t="str">
        <f t="shared" si="1"/>
        <v/>
      </c>
      <c r="M66" s="142">
        <f t="shared" si="16"/>
        <v>0</v>
      </c>
      <c r="N66" s="142">
        <f t="shared" si="12"/>
        <v>0</v>
      </c>
      <c r="O66" s="142">
        <f t="shared" si="12"/>
        <v>0</v>
      </c>
      <c r="P66" s="160">
        <f t="shared" si="12"/>
        <v>0</v>
      </c>
      <c r="Q66" s="143">
        <f t="shared" si="13"/>
        <v>0</v>
      </c>
      <c r="R66" s="49"/>
      <c r="S66" s="143">
        <f t="shared" si="14"/>
        <v>0</v>
      </c>
      <c r="T66" s="145">
        <f t="shared" si="15"/>
        <v>0</v>
      </c>
      <c r="V66" s="391"/>
      <c r="W66" s="131"/>
      <c r="X66" s="131"/>
      <c r="Y66" s="394"/>
    </row>
    <row r="67" spans="1:26" hidden="1" x14ac:dyDescent="0.25">
      <c r="B67" s="158" t="s">
        <v>53</v>
      </c>
      <c r="C67" s="106"/>
      <c r="D67" s="106" t="e">
        <f>SUMIF(#REF!,A67,#REF!)</f>
        <v>#REF!</v>
      </c>
      <c r="E67" s="106" t="e">
        <f>SUMIF(#REF!,A67,#REF!)</f>
        <v>#REF!</v>
      </c>
      <c r="F67" s="106"/>
      <c r="G67" s="106">
        <f>SUMIF(FY2012AuditReconciliation!$C$5:$C$146,A67,FY2012AuditReconciliation!$K$5:$K$146)</f>
        <v>0</v>
      </c>
      <c r="H67" s="106">
        <v>0</v>
      </c>
      <c r="I67" s="106">
        <v>0</v>
      </c>
      <c r="J67" s="106">
        <v>0</v>
      </c>
      <c r="K67" s="48">
        <v>0</v>
      </c>
      <c r="L67" s="159" t="str">
        <f t="shared" si="1"/>
        <v/>
      </c>
      <c r="M67" s="142">
        <f t="shared" si="16"/>
        <v>0</v>
      </c>
      <c r="N67" s="142">
        <f t="shared" si="12"/>
        <v>0</v>
      </c>
      <c r="O67" s="142">
        <f t="shared" si="12"/>
        <v>0</v>
      </c>
      <c r="P67" s="160">
        <f t="shared" si="12"/>
        <v>0</v>
      </c>
      <c r="Q67" s="143">
        <f t="shared" si="13"/>
        <v>0</v>
      </c>
      <c r="R67" s="49"/>
      <c r="S67" s="143">
        <f t="shared" si="14"/>
        <v>0</v>
      </c>
      <c r="T67" s="145">
        <f t="shared" si="15"/>
        <v>0</v>
      </c>
      <c r="V67" s="391"/>
      <c r="W67" s="131"/>
      <c r="X67" s="131"/>
      <c r="Y67" s="394"/>
    </row>
    <row r="68" spans="1:26" hidden="1" x14ac:dyDescent="0.25">
      <c r="B68" s="158" t="s">
        <v>53</v>
      </c>
      <c r="C68" s="106"/>
      <c r="D68" s="106" t="e">
        <f>SUMIF(#REF!,A68,#REF!)</f>
        <v>#REF!</v>
      </c>
      <c r="E68" s="106" t="e">
        <f>SUMIF(#REF!,A68,#REF!)</f>
        <v>#REF!</v>
      </c>
      <c r="F68" s="106"/>
      <c r="G68" s="106">
        <f>SUMIF(FY2012AuditReconciliation!$C$5:$C$146,A68,FY2012AuditReconciliation!$K$5:$K$146)</f>
        <v>0</v>
      </c>
      <c r="H68" s="106">
        <v>0</v>
      </c>
      <c r="I68" s="106">
        <v>0</v>
      </c>
      <c r="J68" s="106">
        <v>0</v>
      </c>
      <c r="K68" s="48">
        <v>0</v>
      </c>
      <c r="L68" s="159" t="str">
        <f t="shared" si="1"/>
        <v/>
      </c>
      <c r="M68" s="142">
        <f t="shared" si="16"/>
        <v>0</v>
      </c>
      <c r="N68" s="142">
        <f t="shared" si="12"/>
        <v>0</v>
      </c>
      <c r="O68" s="142">
        <f t="shared" si="12"/>
        <v>0</v>
      </c>
      <c r="P68" s="160">
        <f t="shared" si="12"/>
        <v>0</v>
      </c>
      <c r="Q68" s="143">
        <f t="shared" si="13"/>
        <v>0</v>
      </c>
      <c r="R68" s="49"/>
      <c r="S68" s="143">
        <f t="shared" si="14"/>
        <v>0</v>
      </c>
      <c r="T68" s="145">
        <f t="shared" si="15"/>
        <v>0</v>
      </c>
      <c r="V68" s="391"/>
      <c r="W68" s="131"/>
      <c r="X68" s="131"/>
      <c r="Y68" s="394"/>
    </row>
    <row r="69" spans="1:26" s="179" customFormat="1" x14ac:dyDescent="0.25">
      <c r="A69" s="163" t="s">
        <v>97</v>
      </c>
      <c r="B69" s="177" t="s">
        <v>19</v>
      </c>
      <c r="C69" s="110">
        <f t="shared" ref="C69:S69" si="17">SUM(C53:C68)</f>
        <v>0</v>
      </c>
      <c r="D69" s="110" t="e">
        <f t="shared" si="17"/>
        <v>#REF!</v>
      </c>
      <c r="E69" s="110" t="e">
        <f t="shared" si="17"/>
        <v>#REF!</v>
      </c>
      <c r="F69" s="110"/>
      <c r="G69" s="110">
        <f t="shared" si="17"/>
        <v>79727</v>
      </c>
      <c r="H69" s="110">
        <f>SUM(H53:H68)</f>
        <v>74250</v>
      </c>
      <c r="I69" s="121">
        <f>SUM(I53:I68)</f>
        <v>161032</v>
      </c>
      <c r="J69" s="121">
        <f>SUM(J53:J68)</f>
        <v>79213.63</v>
      </c>
      <c r="K69" s="121">
        <f>SUM(K53:K68)</f>
        <v>222828</v>
      </c>
      <c r="L69" s="352">
        <f t="shared" si="1"/>
        <v>1.813000742422737</v>
      </c>
      <c r="M69" s="110">
        <f t="shared" si="17"/>
        <v>55707</v>
      </c>
      <c r="N69" s="110">
        <f t="shared" si="17"/>
        <v>55707</v>
      </c>
      <c r="O69" s="110">
        <f t="shared" si="17"/>
        <v>55707</v>
      </c>
      <c r="P69" s="110">
        <f t="shared" si="17"/>
        <v>55707</v>
      </c>
      <c r="Q69" s="110">
        <f t="shared" si="17"/>
        <v>265.27142857142854</v>
      </c>
      <c r="R69" s="110">
        <f t="shared" si="17"/>
        <v>140698</v>
      </c>
      <c r="S69" s="110">
        <f t="shared" si="17"/>
        <v>92.321522309711298</v>
      </c>
      <c r="T69" s="166">
        <f t="shared" si="15"/>
        <v>1.5837325335114927</v>
      </c>
      <c r="U69" s="354"/>
      <c r="V69" s="391"/>
      <c r="W69" s="181"/>
      <c r="X69" s="181"/>
      <c r="Y69" s="399"/>
      <c r="Z69" s="400"/>
    </row>
    <row r="70" spans="1:26" x14ac:dyDescent="0.25">
      <c r="B70" s="168"/>
      <c r="C70" s="112"/>
      <c r="D70" s="112"/>
      <c r="E70" s="112"/>
      <c r="F70" s="112"/>
      <c r="G70" s="112"/>
      <c r="H70" s="112"/>
      <c r="I70" s="112"/>
      <c r="J70" s="112"/>
      <c r="K70" s="48"/>
      <c r="L70" s="159" t="str">
        <f t="shared" si="1"/>
        <v/>
      </c>
      <c r="M70" s="170"/>
      <c r="N70" s="170"/>
      <c r="O70" s="170"/>
      <c r="P70" s="171"/>
      <c r="Q70" s="170"/>
      <c r="R70" s="172"/>
      <c r="S70" s="170"/>
      <c r="T70" s="182"/>
      <c r="V70" s="391"/>
      <c r="W70" s="131"/>
      <c r="X70" s="131"/>
      <c r="Y70" s="394"/>
    </row>
    <row r="71" spans="1:26" x14ac:dyDescent="0.25">
      <c r="B71" s="168" t="s">
        <v>20</v>
      </c>
      <c r="C71" s="112"/>
      <c r="D71" s="112"/>
      <c r="E71" s="112"/>
      <c r="F71" s="112"/>
      <c r="G71" s="112"/>
      <c r="H71" s="112"/>
      <c r="I71" s="112"/>
      <c r="J71" s="112"/>
      <c r="K71" s="48"/>
      <c r="L71" s="159" t="str">
        <f t="shared" si="1"/>
        <v/>
      </c>
      <c r="M71" s="170"/>
      <c r="N71" s="170"/>
      <c r="O71" s="170"/>
      <c r="P71" s="171"/>
      <c r="Q71" s="170"/>
      <c r="R71" s="172"/>
      <c r="S71" s="170"/>
      <c r="T71" s="182"/>
      <c r="V71" s="391"/>
      <c r="W71" s="131"/>
      <c r="X71" s="131"/>
      <c r="Y71" s="394"/>
    </row>
    <row r="72" spans="1:26" x14ac:dyDescent="0.25">
      <c r="A72" s="132">
        <v>4410065.0199999996</v>
      </c>
      <c r="B72" s="176" t="s">
        <v>21</v>
      </c>
      <c r="C72" s="106"/>
      <c r="D72" s="106" t="e">
        <f>SUMIF(#REF!,A72,#REF!)</f>
        <v>#REF!</v>
      </c>
      <c r="E72" s="106" t="e">
        <f>SUMIF(#REF!,A72,#REF!)</f>
        <v>#REF!</v>
      </c>
      <c r="F72" s="106"/>
      <c r="G72" s="106">
        <f>SUMIF(FY2012AuditReconciliation!$C$5:$C$146,A72,FY2012AuditReconciliation!$K$5:$K$146)</f>
        <v>0</v>
      </c>
      <c r="H72" s="106">
        <v>0</v>
      </c>
      <c r="I72" s="106">
        <f>SUMIF('actual 2014'!$C$5:$C$121,A72,'actual 2014'!$L$5:$L$121)</f>
        <v>0</v>
      </c>
      <c r="J72" s="106">
        <v>0</v>
      </c>
      <c r="K72" s="119">
        <f>+'Compensation Details'!F53</f>
        <v>7200</v>
      </c>
      <c r="L72" s="159">
        <f t="shared" si="1"/>
        <v>1</v>
      </c>
      <c r="M72" s="142">
        <f t="shared" ref="M72:M92" si="18">+K72/4</f>
        <v>1800</v>
      </c>
      <c r="N72" s="142">
        <f t="shared" ref="N72:P100" si="19">+$K72/4</f>
        <v>1800</v>
      </c>
      <c r="O72" s="142">
        <f t="shared" si="19"/>
        <v>1800</v>
      </c>
      <c r="P72" s="160">
        <f t="shared" si="19"/>
        <v>1800</v>
      </c>
      <c r="Q72" s="143">
        <f t="shared" ref="Q72:Q100" si="20">IF(K72=0,0,K72/$K$5/12)</f>
        <v>8.5714285714285712</v>
      </c>
      <c r="R72" s="49"/>
      <c r="S72" s="143">
        <f t="shared" ref="S72:S100" si="21">IF(R72=0,0,R72/$K$4/12)</f>
        <v>0</v>
      </c>
      <c r="T72" s="145">
        <f t="shared" ref="T72:T101" si="22">IF(R72=0,0,(K72/R72))</f>
        <v>0</v>
      </c>
      <c r="V72" s="391"/>
      <c r="W72" s="131"/>
      <c r="X72" s="131"/>
      <c r="Y72" s="394"/>
    </row>
    <row r="73" spans="1:26" x14ac:dyDescent="0.25">
      <c r="A73" s="132">
        <v>4420001.03</v>
      </c>
      <c r="B73" s="176" t="s">
        <v>22</v>
      </c>
      <c r="C73" s="106"/>
      <c r="D73" s="106" t="e">
        <f>SUMIF(#REF!,A73,#REF!)</f>
        <v>#REF!</v>
      </c>
      <c r="E73" s="106" t="e">
        <f>SUMIF(#REF!,A73,#REF!)</f>
        <v>#REF!</v>
      </c>
      <c r="F73" s="106"/>
      <c r="G73" s="106">
        <f>SUMIF(FY2012AuditReconciliation!$C$5:$C$146,A73,FY2012AuditReconciliation!$K$5:$K$146)</f>
        <v>0</v>
      </c>
      <c r="H73" s="106">
        <v>0</v>
      </c>
      <c r="I73" s="106">
        <f>SUMIF('actual 2014'!$C$5:$C$121,A73,'actual 2014'!$L$5:$L$121)</f>
        <v>0</v>
      </c>
      <c r="J73" s="106">
        <v>0</v>
      </c>
      <c r="K73" s="119">
        <f>+'Line Items explanations'!H238</f>
        <v>600</v>
      </c>
      <c r="L73" s="159">
        <f t="shared" si="1"/>
        <v>1</v>
      </c>
      <c r="M73" s="142">
        <f t="shared" si="18"/>
        <v>150</v>
      </c>
      <c r="N73" s="142">
        <f t="shared" si="19"/>
        <v>150</v>
      </c>
      <c r="O73" s="142">
        <f t="shared" si="19"/>
        <v>150</v>
      </c>
      <c r="P73" s="160">
        <f t="shared" si="19"/>
        <v>150</v>
      </c>
      <c r="Q73" s="143">
        <f t="shared" si="20"/>
        <v>0.7142857142857143</v>
      </c>
      <c r="R73" s="49"/>
      <c r="S73" s="143">
        <f t="shared" si="21"/>
        <v>0</v>
      </c>
      <c r="T73" s="145">
        <f t="shared" si="22"/>
        <v>0</v>
      </c>
      <c r="V73" s="391"/>
      <c r="W73" s="131"/>
      <c r="X73" s="131"/>
      <c r="Y73" s="394"/>
    </row>
    <row r="74" spans="1:26" x14ac:dyDescent="0.25">
      <c r="A74" s="132">
        <v>4420001.04</v>
      </c>
      <c r="B74" s="176" t="s">
        <v>51</v>
      </c>
      <c r="C74" s="106"/>
      <c r="D74" s="106" t="e">
        <f>SUMIF(#REF!,A74,#REF!)</f>
        <v>#REF!</v>
      </c>
      <c r="E74" s="106" t="e">
        <f>SUMIF(#REF!,A74,#REF!)</f>
        <v>#REF!</v>
      </c>
      <c r="F74" s="106"/>
      <c r="G74" s="106">
        <f>SUMIF(FY2012AuditReconciliation!$C$5:$C$146,A74,FY2012AuditReconciliation!$K$5:$K$146)</f>
        <v>0</v>
      </c>
      <c r="H74" s="106">
        <v>0</v>
      </c>
      <c r="I74" s="106">
        <f>SUMIF('actual 2014'!$C$5:$C$121,A74,'actual 2014'!$L$5:$L$121)</f>
        <v>0</v>
      </c>
      <c r="J74" s="106">
        <v>0</v>
      </c>
      <c r="K74" s="119">
        <f>+'Line Items explanations'!H243</f>
        <v>0</v>
      </c>
      <c r="L74" s="159" t="str">
        <f t="shared" ref="L74:L137" si="23">IF(K74=0,"",IF(J74=0,100%,(K74-J74)/J74))</f>
        <v/>
      </c>
      <c r="M74" s="142">
        <f t="shared" si="18"/>
        <v>0</v>
      </c>
      <c r="N74" s="142">
        <f t="shared" si="19"/>
        <v>0</v>
      </c>
      <c r="O74" s="142">
        <f t="shared" si="19"/>
        <v>0</v>
      </c>
      <c r="P74" s="160">
        <f t="shared" si="19"/>
        <v>0</v>
      </c>
      <c r="Q74" s="143">
        <f t="shared" si="20"/>
        <v>0</v>
      </c>
      <c r="R74" s="49"/>
      <c r="S74" s="143">
        <f t="shared" si="21"/>
        <v>0</v>
      </c>
      <c r="T74" s="145">
        <f t="shared" si="22"/>
        <v>0</v>
      </c>
      <c r="V74" s="391"/>
      <c r="W74" s="131"/>
      <c r="X74" s="131"/>
      <c r="Y74" s="394"/>
    </row>
    <row r="75" spans="1:26" x14ac:dyDescent="0.25">
      <c r="A75" s="132">
        <v>4420013</v>
      </c>
      <c r="B75" s="176" t="s">
        <v>93</v>
      </c>
      <c r="C75" s="106"/>
      <c r="D75" s="106" t="e">
        <f>SUMIF(#REF!,A75,#REF!)</f>
        <v>#REF!</v>
      </c>
      <c r="E75" s="106" t="e">
        <f>SUMIF(#REF!,A75,#REF!)</f>
        <v>#REF!</v>
      </c>
      <c r="F75" s="106"/>
      <c r="G75" s="106">
        <f>SUMIF(FY2012AuditReconciliation!$C$5:$C$146,A75,FY2012AuditReconciliation!$K$5:$K$146)</f>
        <v>27584</v>
      </c>
      <c r="H75" s="106">
        <v>10000</v>
      </c>
      <c r="I75" s="106">
        <f>SUMIF('actual 2014'!$C$5:$C$121,A75,'actual 2014'!$L$5:$L$121)</f>
        <v>42037</v>
      </c>
      <c r="J75" s="106">
        <v>24505</v>
      </c>
      <c r="K75" s="119">
        <v>23500</v>
      </c>
      <c r="L75" s="159">
        <f t="shared" si="23"/>
        <v>-4.1012038359518464E-2</v>
      </c>
      <c r="M75" s="142">
        <f t="shared" si="18"/>
        <v>5875</v>
      </c>
      <c r="N75" s="142">
        <f t="shared" si="19"/>
        <v>5875</v>
      </c>
      <c r="O75" s="142">
        <f t="shared" si="19"/>
        <v>5875</v>
      </c>
      <c r="P75" s="160">
        <f t="shared" si="19"/>
        <v>5875</v>
      </c>
      <c r="Q75" s="143">
        <f t="shared" si="20"/>
        <v>27.976190476190478</v>
      </c>
      <c r="R75" s="49">
        <v>47500</v>
      </c>
      <c r="S75" s="143">
        <f t="shared" si="21"/>
        <v>31.167979002624673</v>
      </c>
      <c r="T75" s="145">
        <f t="shared" si="22"/>
        <v>0.49473684210526314</v>
      </c>
      <c r="V75" s="391"/>
      <c r="W75" s="131"/>
      <c r="X75" s="131"/>
      <c r="Y75" s="394"/>
    </row>
    <row r="76" spans="1:26" x14ac:dyDescent="0.25">
      <c r="A76" s="132">
        <v>4430022.04</v>
      </c>
      <c r="B76" s="176" t="s">
        <v>23</v>
      </c>
      <c r="C76" s="106"/>
      <c r="D76" s="106" t="e">
        <f>SUMIF(#REF!,A76,#REF!)</f>
        <v>#REF!</v>
      </c>
      <c r="E76" s="106" t="e">
        <f>SUMIF(#REF!,A76,#REF!)</f>
        <v>#REF!</v>
      </c>
      <c r="F76" s="106"/>
      <c r="G76" s="106">
        <f>SUMIF(FY2012AuditReconciliation!$C$5:$C$146,A76,FY2012AuditReconciliation!$K$5:$K$146)</f>
        <v>22421</v>
      </c>
      <c r="H76" s="106">
        <v>1730</v>
      </c>
      <c r="I76" s="106">
        <f>SUMIF('actual 2014'!$C$5:$C$121,A76,'actual 2014'!$L$5:$L$121)</f>
        <v>48603</v>
      </c>
      <c r="J76" s="106">
        <v>963</v>
      </c>
      <c r="K76" s="119">
        <f>+'Line Items explanations'!H254</f>
        <v>600</v>
      </c>
      <c r="L76" s="159">
        <f t="shared" si="23"/>
        <v>-0.37694704049844235</v>
      </c>
      <c r="M76" s="142">
        <f t="shared" si="18"/>
        <v>150</v>
      </c>
      <c r="N76" s="142">
        <f t="shared" si="19"/>
        <v>150</v>
      </c>
      <c r="O76" s="142">
        <f t="shared" si="19"/>
        <v>150</v>
      </c>
      <c r="P76" s="160">
        <f t="shared" si="19"/>
        <v>150</v>
      </c>
      <c r="Q76" s="143">
        <f t="shared" si="20"/>
        <v>0.7142857142857143</v>
      </c>
      <c r="R76" s="49">
        <v>1500</v>
      </c>
      <c r="S76" s="143">
        <f t="shared" si="21"/>
        <v>0.98425196850393704</v>
      </c>
      <c r="T76" s="145">
        <f t="shared" si="22"/>
        <v>0.4</v>
      </c>
      <c r="V76" s="391"/>
      <c r="W76" s="131"/>
      <c r="X76" s="131"/>
      <c r="Y76" s="394"/>
    </row>
    <row r="77" spans="1:26" x14ac:dyDescent="0.25">
      <c r="A77" s="132">
        <v>4430093</v>
      </c>
      <c r="B77" s="176" t="s">
        <v>24</v>
      </c>
      <c r="C77" s="106"/>
      <c r="D77" s="106" t="e">
        <f>SUMIF(#REF!,A77,#REF!)</f>
        <v>#REF!</v>
      </c>
      <c r="E77" s="106" t="e">
        <f>SUMIF(#REF!,A77,#REF!)</f>
        <v>#REF!</v>
      </c>
      <c r="F77" s="106"/>
      <c r="G77" s="106">
        <f>SUMIF(FY2012AuditReconciliation!$C$5:$C$146,A77,FY2012AuditReconciliation!$K$5:$K$146)</f>
        <v>0</v>
      </c>
      <c r="H77" s="106">
        <v>0</v>
      </c>
      <c r="I77" s="106">
        <f>SUMIF('actual 2014'!$C$5:$C$121,A77,'actual 2014'!$L$5:$L$121)</f>
        <v>0</v>
      </c>
      <c r="J77" s="106">
        <v>1815</v>
      </c>
      <c r="K77" s="119">
        <f>+'Line Items explanations'!H259</f>
        <v>0</v>
      </c>
      <c r="L77" s="159" t="str">
        <f t="shared" si="23"/>
        <v/>
      </c>
      <c r="M77" s="142">
        <f t="shared" si="18"/>
        <v>0</v>
      </c>
      <c r="N77" s="142">
        <f t="shared" si="19"/>
        <v>0</v>
      </c>
      <c r="O77" s="142">
        <f t="shared" si="19"/>
        <v>0</v>
      </c>
      <c r="P77" s="160">
        <f t="shared" si="19"/>
        <v>0</v>
      </c>
      <c r="Q77" s="143">
        <f t="shared" si="20"/>
        <v>0</v>
      </c>
      <c r="R77" s="49">
        <v>2500</v>
      </c>
      <c r="S77" s="143">
        <f t="shared" si="21"/>
        <v>1.6404199475065617</v>
      </c>
      <c r="T77" s="145">
        <f t="shared" si="22"/>
        <v>0</v>
      </c>
      <c r="V77" s="391"/>
      <c r="W77" s="131"/>
      <c r="X77" s="131"/>
      <c r="Y77" s="394"/>
    </row>
    <row r="78" spans="1:26" x14ac:dyDescent="0.25">
      <c r="A78" s="132">
        <v>4430017</v>
      </c>
      <c r="B78" s="176" t="s">
        <v>25</v>
      </c>
      <c r="C78" s="106"/>
      <c r="D78" s="106" t="e">
        <f>SUMIF(#REF!,A78,#REF!)</f>
        <v>#REF!</v>
      </c>
      <c r="E78" s="106" t="e">
        <f>SUMIF(#REF!,A78,#REF!)</f>
        <v>#REF!</v>
      </c>
      <c r="F78" s="106"/>
      <c r="G78" s="106">
        <f>SUMIF(FY2012AuditReconciliation!$C$5:$C$146,A78,FY2012AuditReconciliation!$K$5:$K$146)</f>
        <v>3100</v>
      </c>
      <c r="H78" s="106">
        <v>925</v>
      </c>
      <c r="I78" s="106">
        <f>SUMIF('actual 2014'!$C$5:$C$121,A78,'actual 2014'!$L$5:$L$121)</f>
        <v>7083</v>
      </c>
      <c r="J78" s="106">
        <v>2200</v>
      </c>
      <c r="K78" s="119">
        <f>+'Line Items explanations'!H264</f>
        <v>0</v>
      </c>
      <c r="L78" s="159" t="str">
        <f t="shared" si="23"/>
        <v/>
      </c>
      <c r="M78" s="142">
        <f t="shared" si="18"/>
        <v>0</v>
      </c>
      <c r="N78" s="142">
        <f t="shared" si="19"/>
        <v>0</v>
      </c>
      <c r="O78" s="142">
        <f t="shared" si="19"/>
        <v>0</v>
      </c>
      <c r="P78" s="160">
        <f t="shared" si="19"/>
        <v>0</v>
      </c>
      <c r="Q78" s="143">
        <f t="shared" si="20"/>
        <v>0</v>
      </c>
      <c r="R78" s="49">
        <v>4000</v>
      </c>
      <c r="S78" s="143">
        <f t="shared" si="21"/>
        <v>2.6246719160104988</v>
      </c>
      <c r="T78" s="145">
        <f t="shared" si="22"/>
        <v>0</v>
      </c>
      <c r="V78" s="391"/>
      <c r="W78" s="131"/>
      <c r="X78" s="131"/>
      <c r="Y78" s="394"/>
    </row>
    <row r="79" spans="1:26" x14ac:dyDescent="0.25">
      <c r="A79" s="132">
        <v>4430011.01</v>
      </c>
      <c r="B79" s="176" t="s">
        <v>26</v>
      </c>
      <c r="C79" s="106"/>
      <c r="D79" s="106" t="e">
        <f>SUMIF(#REF!,A79,#REF!)</f>
        <v>#REF!</v>
      </c>
      <c r="E79" s="106" t="e">
        <f>SUMIF(#REF!,A79,#REF!)</f>
        <v>#REF!</v>
      </c>
      <c r="F79" s="106"/>
      <c r="G79" s="106">
        <f>SUMIF(FY2012AuditReconciliation!$C$5:$C$146,A79,FY2012AuditReconciliation!$K$5:$K$146)</f>
        <v>0</v>
      </c>
      <c r="H79" s="106">
        <v>0</v>
      </c>
      <c r="I79" s="106">
        <f>SUMIF('actual 2014'!$C$5:$C$121,A79,'actual 2014'!$L$5:$L$121)</f>
        <v>0</v>
      </c>
      <c r="J79" s="106">
        <v>0</v>
      </c>
      <c r="K79" s="119">
        <f>+'Line Items explanations'!H269</f>
        <v>0</v>
      </c>
      <c r="L79" s="159" t="str">
        <f t="shared" si="23"/>
        <v/>
      </c>
      <c r="M79" s="142">
        <f t="shared" si="18"/>
        <v>0</v>
      </c>
      <c r="N79" s="142">
        <f t="shared" si="19"/>
        <v>0</v>
      </c>
      <c r="O79" s="142">
        <f t="shared" si="19"/>
        <v>0</v>
      </c>
      <c r="P79" s="160">
        <f t="shared" si="19"/>
        <v>0</v>
      </c>
      <c r="Q79" s="143">
        <f t="shared" si="20"/>
        <v>0</v>
      </c>
      <c r="R79" s="49"/>
      <c r="S79" s="143">
        <f t="shared" si="21"/>
        <v>0</v>
      </c>
      <c r="T79" s="145">
        <f t="shared" si="22"/>
        <v>0</v>
      </c>
      <c r="V79" s="391"/>
      <c r="W79" s="131"/>
      <c r="X79" s="131"/>
      <c r="Y79" s="394"/>
    </row>
    <row r="80" spans="1:26" x14ac:dyDescent="0.25">
      <c r="A80" s="132">
        <v>4430011.0199999996</v>
      </c>
      <c r="B80" s="176" t="s">
        <v>27</v>
      </c>
      <c r="C80" s="106"/>
      <c r="D80" s="106" t="e">
        <f>SUMIF(#REF!,A80,#REF!)</f>
        <v>#REF!</v>
      </c>
      <c r="E80" s="106" t="e">
        <f>SUMIF(#REF!,A80,#REF!)</f>
        <v>#REF!</v>
      </c>
      <c r="F80" s="106"/>
      <c r="G80" s="106">
        <f>SUMIF(FY2012AuditReconciliation!$C$5:$C$146,A80,FY2012AuditReconciliation!$K$5:$K$146)</f>
        <v>11543</v>
      </c>
      <c r="H80" s="106">
        <v>8900</v>
      </c>
      <c r="I80" s="106">
        <f>SUMIF('actual 2014'!$C$5:$C$121,A80,'actual 2014'!$L$5:$L$121)</f>
        <v>24925</v>
      </c>
      <c r="J80" s="106">
        <v>9628</v>
      </c>
      <c r="K80" s="119">
        <f>'Line Items explanations'!H274</f>
        <v>0</v>
      </c>
      <c r="L80" s="159" t="str">
        <f t="shared" si="23"/>
        <v/>
      </c>
      <c r="M80" s="142">
        <f t="shared" si="18"/>
        <v>0</v>
      </c>
      <c r="N80" s="142">
        <f t="shared" si="19"/>
        <v>0</v>
      </c>
      <c r="O80" s="142">
        <f t="shared" si="19"/>
        <v>0</v>
      </c>
      <c r="P80" s="160">
        <f t="shared" si="19"/>
        <v>0</v>
      </c>
      <c r="Q80" s="143">
        <f t="shared" si="20"/>
        <v>0</v>
      </c>
      <c r="R80" s="49">
        <v>18000</v>
      </c>
      <c r="S80" s="143">
        <f t="shared" si="21"/>
        <v>11.811023622047244</v>
      </c>
      <c r="T80" s="145">
        <f t="shared" si="22"/>
        <v>0</v>
      </c>
      <c r="V80" s="391"/>
      <c r="W80" s="131"/>
      <c r="X80" s="131"/>
      <c r="Y80" s="394"/>
    </row>
    <row r="81" spans="1:25" ht="110.25" x14ac:dyDescent="0.25">
      <c r="A81" s="132">
        <v>4420011</v>
      </c>
      <c r="B81" s="176" t="s">
        <v>28</v>
      </c>
      <c r="C81" s="106"/>
      <c r="D81" s="106" t="e">
        <f>SUMIF(#REF!,A81,#REF!)</f>
        <v>#REF!</v>
      </c>
      <c r="E81" s="106" t="e">
        <f>SUMIF(#REF!,A81,#REF!)</f>
        <v>#REF!</v>
      </c>
      <c r="F81" s="106"/>
      <c r="G81" s="106">
        <f>SUMIF(FY2012AuditReconciliation!$C$5:$C$146,A81,FY2012AuditReconciliation!$K$5:$K$146)</f>
        <v>0</v>
      </c>
      <c r="H81" s="106">
        <v>2500</v>
      </c>
      <c r="I81" s="106">
        <v>14954</v>
      </c>
      <c r="J81" s="106">
        <v>5223</v>
      </c>
      <c r="K81" s="119">
        <f>+'Line Items explanations'!H279</f>
        <v>0</v>
      </c>
      <c r="L81" s="159" t="str">
        <f t="shared" si="23"/>
        <v/>
      </c>
      <c r="M81" s="142">
        <f t="shared" si="18"/>
        <v>0</v>
      </c>
      <c r="N81" s="142">
        <f t="shared" si="19"/>
        <v>0</v>
      </c>
      <c r="O81" s="142">
        <f t="shared" si="19"/>
        <v>0</v>
      </c>
      <c r="P81" s="160">
        <f t="shared" si="19"/>
        <v>0</v>
      </c>
      <c r="Q81" s="143">
        <f t="shared" si="20"/>
        <v>0</v>
      </c>
      <c r="R81" s="49">
        <v>15600</v>
      </c>
      <c r="S81" s="143">
        <f t="shared" si="21"/>
        <v>10.236220472440944</v>
      </c>
      <c r="T81" s="145">
        <f t="shared" si="22"/>
        <v>0</v>
      </c>
      <c r="U81" s="354" t="s">
        <v>508</v>
      </c>
      <c r="V81" s="391" t="s">
        <v>532</v>
      </c>
      <c r="W81" s="391" t="s">
        <v>533</v>
      </c>
      <c r="X81" s="131"/>
      <c r="Y81" s="394"/>
    </row>
    <row r="82" spans="1:25" ht="126" x14ac:dyDescent="0.25">
      <c r="A82" s="132">
        <v>4430023.01</v>
      </c>
      <c r="B82" s="176" t="s">
        <v>29</v>
      </c>
      <c r="C82" s="106"/>
      <c r="D82" s="106" t="e">
        <f>SUMIF(#REF!,A82,#REF!)</f>
        <v>#REF!</v>
      </c>
      <c r="E82" s="106" t="e">
        <f>SUMIF(#REF!,A82,#REF!)</f>
        <v>#REF!</v>
      </c>
      <c r="F82" s="106"/>
      <c r="G82" s="106">
        <f>SUMIF(FY2012AuditReconciliation!$C$5:$C$146,A82,FY2012AuditReconciliation!$K$5:$K$146)</f>
        <v>0</v>
      </c>
      <c r="H82" s="106">
        <v>0</v>
      </c>
      <c r="I82" s="106">
        <f>SUMIF('actual 2014'!$C$5:$C$121,A82,'actual 2014'!$L$5:$L$121)</f>
        <v>0</v>
      </c>
      <c r="J82" s="106">
        <v>2750</v>
      </c>
      <c r="K82" s="119">
        <f>+'Line Items explanations'!H284</f>
        <v>0</v>
      </c>
      <c r="L82" s="159" t="str">
        <f t="shared" si="23"/>
        <v/>
      </c>
      <c r="M82" s="142">
        <f t="shared" si="18"/>
        <v>0</v>
      </c>
      <c r="N82" s="142">
        <f t="shared" si="19"/>
        <v>0</v>
      </c>
      <c r="O82" s="142">
        <f t="shared" si="19"/>
        <v>0</v>
      </c>
      <c r="P82" s="160">
        <f t="shared" si="19"/>
        <v>0</v>
      </c>
      <c r="Q82" s="143">
        <f t="shared" si="20"/>
        <v>0</v>
      </c>
      <c r="R82" s="49">
        <v>5500</v>
      </c>
      <c r="S82" s="143">
        <f t="shared" si="21"/>
        <v>3.6089238845144358</v>
      </c>
      <c r="T82" s="145">
        <f t="shared" si="22"/>
        <v>0</v>
      </c>
      <c r="U82" s="354" t="s">
        <v>516</v>
      </c>
      <c r="V82" s="391" t="s">
        <v>523</v>
      </c>
      <c r="W82" s="131"/>
      <c r="X82" s="131"/>
      <c r="Y82" s="394"/>
    </row>
    <row r="83" spans="1:25" x14ac:dyDescent="0.25">
      <c r="A83" s="132">
        <v>4430012</v>
      </c>
      <c r="B83" s="176" t="s">
        <v>30</v>
      </c>
      <c r="C83" s="106"/>
      <c r="D83" s="106" t="e">
        <f>SUMIF(#REF!,A83,#REF!)</f>
        <v>#REF!</v>
      </c>
      <c r="E83" s="106" t="e">
        <f>SUMIF(#REF!,A83,#REF!)</f>
        <v>#REF!</v>
      </c>
      <c r="F83" s="106"/>
      <c r="G83" s="106">
        <f>SUMIF(FY2012AuditReconciliation!$C$5:$C$146,A83,FY2012AuditReconciliation!$K$5:$K$146)</f>
        <v>5607</v>
      </c>
      <c r="H83" s="106">
        <v>26400</v>
      </c>
      <c r="I83" s="106">
        <f>SUMIF('actual 2014'!$C$5:$C$121,A83,'actual 2014'!$L$5:$L$121)</f>
        <v>30330</v>
      </c>
      <c r="J83" s="106">
        <v>17600</v>
      </c>
      <c r="K83" s="119">
        <v>14500</v>
      </c>
      <c r="L83" s="159">
        <f t="shared" si="23"/>
        <v>-0.17613636363636365</v>
      </c>
      <c r="M83" s="142">
        <f t="shared" si="18"/>
        <v>3625</v>
      </c>
      <c r="N83" s="142">
        <f t="shared" si="19"/>
        <v>3625</v>
      </c>
      <c r="O83" s="142">
        <f t="shared" si="19"/>
        <v>3625</v>
      </c>
      <c r="P83" s="160">
        <f t="shared" si="19"/>
        <v>3625</v>
      </c>
      <c r="Q83" s="143">
        <f t="shared" si="20"/>
        <v>17.261904761904763</v>
      </c>
      <c r="R83" s="49">
        <v>32000</v>
      </c>
      <c r="S83" s="143">
        <f t="shared" si="21"/>
        <v>20.99737532808399</v>
      </c>
      <c r="T83" s="145">
        <f t="shared" si="22"/>
        <v>0.453125</v>
      </c>
      <c r="V83" s="391"/>
      <c r="W83" s="131"/>
      <c r="X83" s="131"/>
      <c r="Y83" s="394"/>
    </row>
    <row r="84" spans="1:25" ht="236.25" x14ac:dyDescent="0.25">
      <c r="A84" s="132">
        <v>4420014</v>
      </c>
      <c r="B84" s="176" t="s">
        <v>76</v>
      </c>
      <c r="C84" s="106"/>
      <c r="D84" s="106" t="e">
        <f>SUMIF(#REF!,A84,#REF!)</f>
        <v>#REF!</v>
      </c>
      <c r="E84" s="106" t="e">
        <f>SUMIF(#REF!,A84,#REF!)</f>
        <v>#REF!</v>
      </c>
      <c r="F84" s="106"/>
      <c r="G84" s="106">
        <f>SUMIF(FY2012AuditReconciliation!$C$5:$C$146,A84,FY2012AuditReconciliation!$K$5:$K$146)</f>
        <v>6142</v>
      </c>
      <c r="H84" s="106">
        <v>1210</v>
      </c>
      <c r="I84" s="106">
        <f>SUMIF('actual 2014'!$C$5:$C$121,A84,'actual 2014'!$L$5:$L$121)</f>
        <v>26859</v>
      </c>
      <c r="J84" s="106">
        <v>2200</v>
      </c>
      <c r="K84" s="119">
        <f>+'Line Items explanations'!H294</f>
        <v>300</v>
      </c>
      <c r="L84" s="159">
        <f t="shared" si="23"/>
        <v>-0.86363636363636365</v>
      </c>
      <c r="M84" s="142">
        <f t="shared" si="18"/>
        <v>75</v>
      </c>
      <c r="N84" s="142">
        <f t="shared" si="19"/>
        <v>75</v>
      </c>
      <c r="O84" s="142">
        <f t="shared" si="19"/>
        <v>75</v>
      </c>
      <c r="P84" s="160">
        <f t="shared" si="19"/>
        <v>75</v>
      </c>
      <c r="Q84" s="143">
        <f t="shared" si="20"/>
        <v>0.35714285714285715</v>
      </c>
      <c r="R84" s="49">
        <v>5000</v>
      </c>
      <c r="S84" s="143">
        <f t="shared" si="21"/>
        <v>3.2808398950131235</v>
      </c>
      <c r="T84" s="145">
        <f t="shared" si="22"/>
        <v>0.06</v>
      </c>
      <c r="U84" s="354" t="s">
        <v>517</v>
      </c>
      <c r="V84" s="391" t="s">
        <v>534</v>
      </c>
      <c r="W84" s="131"/>
      <c r="X84" s="131"/>
      <c r="Y84" s="394"/>
    </row>
    <row r="85" spans="1:25" x14ac:dyDescent="0.25">
      <c r="A85" s="132">
        <v>4430023.0199999996</v>
      </c>
      <c r="B85" s="176" t="s">
        <v>106</v>
      </c>
      <c r="C85" s="106"/>
      <c r="D85" s="106" t="e">
        <f>SUMIF(#REF!,A85,#REF!)</f>
        <v>#REF!</v>
      </c>
      <c r="E85" s="106" t="e">
        <f>SUMIF(#REF!,A85,#REF!)</f>
        <v>#REF!</v>
      </c>
      <c r="F85" s="106"/>
      <c r="G85" s="106">
        <f>SUMIF(FY2012AuditReconciliation!$C$5:$C$146,A85,FY2012AuditReconciliation!$K$5:$K$146)</f>
        <v>10554</v>
      </c>
      <c r="H85" s="106">
        <v>2475</v>
      </c>
      <c r="I85" s="106">
        <f>SUMIF('actual 2014'!$C$5:$C$121,A85,'actual 2014'!$L$5:$L$121)</f>
        <v>2372</v>
      </c>
      <c r="J85" s="106">
        <v>2255</v>
      </c>
      <c r="K85" s="119" t="e">
        <f>+'Line Items explanations'!#REF!</f>
        <v>#REF!</v>
      </c>
      <c r="L85" s="159" t="e">
        <f t="shared" si="23"/>
        <v>#REF!</v>
      </c>
      <c r="M85" s="142" t="e">
        <f t="shared" si="18"/>
        <v>#REF!</v>
      </c>
      <c r="N85" s="142" t="e">
        <f t="shared" si="19"/>
        <v>#REF!</v>
      </c>
      <c r="O85" s="142" t="e">
        <f t="shared" si="19"/>
        <v>#REF!</v>
      </c>
      <c r="P85" s="160" t="e">
        <f t="shared" si="19"/>
        <v>#REF!</v>
      </c>
      <c r="Q85" s="143" t="e">
        <f t="shared" si="20"/>
        <v>#REF!</v>
      </c>
      <c r="R85" s="49">
        <v>3500</v>
      </c>
      <c r="S85" s="143">
        <f t="shared" si="21"/>
        <v>2.2965879265091864</v>
      </c>
      <c r="T85" s="145" t="e">
        <f t="shared" si="22"/>
        <v>#REF!</v>
      </c>
      <c r="V85" s="391"/>
      <c r="W85" s="131"/>
      <c r="X85" s="131"/>
      <c r="Y85" s="394"/>
    </row>
    <row r="86" spans="1:25" x14ac:dyDescent="0.25">
      <c r="A86" s="132">
        <v>4430092</v>
      </c>
      <c r="B86" s="176" t="s">
        <v>31</v>
      </c>
      <c r="C86" s="106"/>
      <c r="D86" s="106" t="e">
        <f>SUMIF(#REF!,A86,#REF!)</f>
        <v>#REF!</v>
      </c>
      <c r="E86" s="106" t="e">
        <f>SUMIF(#REF!,A86,#REF!)</f>
        <v>#REF!</v>
      </c>
      <c r="F86" s="106"/>
      <c r="G86" s="106">
        <f>SUMIF(FY2012AuditReconciliation!$C$5:$C$146,A86,FY2012AuditReconciliation!$K$5:$K$146)</f>
        <v>0</v>
      </c>
      <c r="H86" s="106">
        <v>0</v>
      </c>
      <c r="I86" s="106">
        <f>SUMIF('actual 2014'!$C$5:$C$121,A86,'actual 2014'!$L$5:$L$121)</f>
        <v>0</v>
      </c>
      <c r="J86" s="106">
        <v>0</v>
      </c>
      <c r="K86" s="119">
        <f>+'Line Items explanations'!H299</f>
        <v>0</v>
      </c>
      <c r="L86" s="159" t="str">
        <f t="shared" si="23"/>
        <v/>
      </c>
      <c r="M86" s="142">
        <f t="shared" si="18"/>
        <v>0</v>
      </c>
      <c r="N86" s="142">
        <f t="shared" si="19"/>
        <v>0</v>
      </c>
      <c r="O86" s="142">
        <f t="shared" si="19"/>
        <v>0</v>
      </c>
      <c r="P86" s="160">
        <f t="shared" si="19"/>
        <v>0</v>
      </c>
      <c r="Q86" s="143">
        <f t="shared" si="20"/>
        <v>0</v>
      </c>
      <c r="R86" s="49"/>
      <c r="S86" s="143">
        <f t="shared" si="21"/>
        <v>0</v>
      </c>
      <c r="T86" s="145">
        <f t="shared" si="22"/>
        <v>0</v>
      </c>
      <c r="V86" s="391"/>
      <c r="W86" s="131"/>
      <c r="X86" s="131"/>
      <c r="Y86" s="394"/>
    </row>
    <row r="87" spans="1:25" x14ac:dyDescent="0.25">
      <c r="A87" s="132">
        <v>4430021</v>
      </c>
      <c r="B87" s="176" t="s">
        <v>32</v>
      </c>
      <c r="C87" s="106"/>
      <c r="D87" s="106" t="e">
        <f>SUMIF(#REF!,A87,#REF!)</f>
        <v>#REF!</v>
      </c>
      <c r="E87" s="106" t="e">
        <f>SUMIF(#REF!,A87,#REF!)</f>
        <v>#REF!</v>
      </c>
      <c r="F87" s="106"/>
      <c r="G87" s="106">
        <f>SUMIF(FY2012AuditReconciliation!$C$5:$C$146,A87,FY2012AuditReconciliation!$K$5:$K$146)</f>
        <v>111</v>
      </c>
      <c r="H87" s="106">
        <v>280</v>
      </c>
      <c r="I87" s="106">
        <f>SUMIF('actual 2014'!$C$5:$C$121,A87,'actual 2014'!$L$5:$L$121)</f>
        <v>360</v>
      </c>
      <c r="J87" s="106">
        <v>413</v>
      </c>
      <c r="K87" s="119">
        <f>+'Line Items explanations'!H304</f>
        <v>0</v>
      </c>
      <c r="L87" s="159" t="str">
        <f t="shared" si="23"/>
        <v/>
      </c>
      <c r="M87" s="142">
        <f t="shared" si="18"/>
        <v>0</v>
      </c>
      <c r="N87" s="142">
        <f t="shared" si="19"/>
        <v>0</v>
      </c>
      <c r="O87" s="142">
        <f t="shared" si="19"/>
        <v>0</v>
      </c>
      <c r="P87" s="160">
        <f t="shared" si="19"/>
        <v>0</v>
      </c>
      <c r="Q87" s="143">
        <f t="shared" si="20"/>
        <v>0</v>
      </c>
      <c r="R87" s="49">
        <v>500</v>
      </c>
      <c r="S87" s="143">
        <f t="shared" si="21"/>
        <v>0.32808398950131235</v>
      </c>
      <c r="T87" s="145">
        <f t="shared" si="22"/>
        <v>0</v>
      </c>
      <c r="V87" s="391"/>
      <c r="W87" s="131"/>
      <c r="X87" s="131"/>
      <c r="Y87" s="394"/>
    </row>
    <row r="88" spans="1:25" x14ac:dyDescent="0.25">
      <c r="A88" s="132">
        <v>4480001</v>
      </c>
      <c r="B88" s="176" t="s">
        <v>33</v>
      </c>
      <c r="C88" s="106"/>
      <c r="D88" s="106" t="e">
        <f>SUMIF(#REF!,A88,#REF!)</f>
        <v>#REF!</v>
      </c>
      <c r="E88" s="106" t="e">
        <f>SUMIF(#REF!,A88,#REF!)</f>
        <v>#REF!</v>
      </c>
      <c r="F88" s="106"/>
      <c r="G88" s="106">
        <f>SUMIF(FY2012AuditReconciliation!$C$5:$C$146,A88,FY2012AuditReconciliation!$K$5:$K$146)</f>
        <v>13696</v>
      </c>
      <c r="H88" s="106">
        <v>18700</v>
      </c>
      <c r="I88" s="106">
        <f>SUMIF('actual 2014'!$C$5:$C$121,A88,'actual 2014'!$L$5:$L$121)</f>
        <v>20496</v>
      </c>
      <c r="J88" s="106">
        <v>15730</v>
      </c>
      <c r="K88" s="119">
        <f>+'Line Items explanations'!H309</f>
        <v>0</v>
      </c>
      <c r="L88" s="159" t="str">
        <f t="shared" si="23"/>
        <v/>
      </c>
      <c r="M88" s="142">
        <f t="shared" si="18"/>
        <v>0</v>
      </c>
      <c r="N88" s="142">
        <f t="shared" si="19"/>
        <v>0</v>
      </c>
      <c r="O88" s="142">
        <f t="shared" si="19"/>
        <v>0</v>
      </c>
      <c r="P88" s="160">
        <f t="shared" si="19"/>
        <v>0</v>
      </c>
      <c r="Q88" s="143">
        <f t="shared" si="20"/>
        <v>0</v>
      </c>
      <c r="R88" s="49">
        <v>24000</v>
      </c>
      <c r="S88" s="143">
        <f t="shared" si="21"/>
        <v>15.748031496062993</v>
      </c>
      <c r="T88" s="145">
        <f t="shared" si="22"/>
        <v>0</v>
      </c>
      <c r="V88" s="391"/>
      <c r="W88" s="131"/>
      <c r="X88" s="131"/>
      <c r="Y88" s="394"/>
    </row>
    <row r="89" spans="1:25" x14ac:dyDescent="0.25">
      <c r="A89" s="132">
        <v>4420012</v>
      </c>
      <c r="B89" s="176" t="s">
        <v>34</v>
      </c>
      <c r="C89" s="106"/>
      <c r="D89" s="106" t="e">
        <f>SUMIF(#REF!,A89,#REF!)</f>
        <v>#REF!</v>
      </c>
      <c r="E89" s="106" t="e">
        <f>SUMIF(#REF!,A89,#REF!)</f>
        <v>#REF!</v>
      </c>
      <c r="F89" s="106"/>
      <c r="G89" s="106">
        <f>SUMIF(FY2012AuditReconciliation!$C$5:$C$146,A89,FY2012AuditReconciliation!$K$5:$K$146)</f>
        <v>0</v>
      </c>
      <c r="H89" s="106"/>
      <c r="I89" s="106">
        <f>SUMIF('actual 2014'!$C$5:$C$121,A89,'actual 2014'!$L$5:$L$121)</f>
        <v>0</v>
      </c>
      <c r="J89" s="106"/>
      <c r="K89" s="48"/>
      <c r="L89" s="159" t="str">
        <f t="shared" si="23"/>
        <v/>
      </c>
      <c r="M89" s="142">
        <f t="shared" si="18"/>
        <v>0</v>
      </c>
      <c r="N89" s="142">
        <f t="shared" si="19"/>
        <v>0</v>
      </c>
      <c r="O89" s="142">
        <f t="shared" si="19"/>
        <v>0</v>
      </c>
      <c r="P89" s="160">
        <f t="shared" si="19"/>
        <v>0</v>
      </c>
      <c r="Q89" s="143">
        <f t="shared" si="20"/>
        <v>0</v>
      </c>
      <c r="R89" s="49"/>
      <c r="S89" s="143">
        <f t="shared" si="21"/>
        <v>0</v>
      </c>
      <c r="T89" s="145">
        <f t="shared" si="22"/>
        <v>0</v>
      </c>
      <c r="V89" s="391"/>
      <c r="W89" s="131"/>
      <c r="X89" s="131"/>
      <c r="Y89" s="394"/>
    </row>
    <row r="90" spans="1:25" x14ac:dyDescent="0.25">
      <c r="A90" s="132">
        <v>4430018</v>
      </c>
      <c r="B90" s="176" t="s">
        <v>69</v>
      </c>
      <c r="C90" s="106"/>
      <c r="D90" s="106" t="e">
        <f>SUMIF(#REF!,A90,#REF!)</f>
        <v>#REF!</v>
      </c>
      <c r="E90" s="106" t="e">
        <f>SUMIF(#REF!,A90,#REF!)</f>
        <v>#REF!</v>
      </c>
      <c r="F90" s="106"/>
      <c r="G90" s="106">
        <f>SUMIF(FY2012AuditReconciliation!$C$5:$C$146,A90,FY2012AuditReconciliation!$K$5:$K$146)</f>
        <v>1976</v>
      </c>
      <c r="H90" s="106">
        <v>1925</v>
      </c>
      <c r="I90" s="106">
        <f>SUMIF('actual 2014'!$C$5:$C$121,A90,'actual 2014'!$L$5:$L$121)</f>
        <v>5091</v>
      </c>
      <c r="J90" s="106">
        <v>2200</v>
      </c>
      <c r="K90" s="119">
        <f>+'Line Items explanations'!H314</f>
        <v>0</v>
      </c>
      <c r="L90" s="159" t="str">
        <f t="shared" si="23"/>
        <v/>
      </c>
      <c r="M90" s="142">
        <f t="shared" si="18"/>
        <v>0</v>
      </c>
      <c r="N90" s="142">
        <f t="shared" si="19"/>
        <v>0</v>
      </c>
      <c r="O90" s="142">
        <f t="shared" si="19"/>
        <v>0</v>
      </c>
      <c r="P90" s="160">
        <f t="shared" si="19"/>
        <v>0</v>
      </c>
      <c r="Q90" s="143">
        <f t="shared" si="20"/>
        <v>0</v>
      </c>
      <c r="R90" s="49">
        <v>4000</v>
      </c>
      <c r="S90" s="143">
        <f t="shared" si="21"/>
        <v>2.6246719160104988</v>
      </c>
      <c r="T90" s="145">
        <f t="shared" si="22"/>
        <v>0</v>
      </c>
      <c r="V90" s="391"/>
      <c r="W90" s="131"/>
      <c r="X90" s="131"/>
      <c r="Y90" s="394"/>
    </row>
    <row r="91" spans="1:25" x14ac:dyDescent="0.25">
      <c r="A91" s="132">
        <v>4420010</v>
      </c>
      <c r="B91" s="176" t="s">
        <v>70</v>
      </c>
      <c r="C91" s="106"/>
      <c r="D91" s="106" t="e">
        <f>SUMIF(#REF!,A91,#REF!)</f>
        <v>#REF!</v>
      </c>
      <c r="E91" s="106" t="e">
        <f>SUMIF(#REF!,A91,#REF!)</f>
        <v>#REF!</v>
      </c>
      <c r="F91" s="106"/>
      <c r="G91" s="106">
        <f>SUMIF(FY2012AuditReconciliation!$C$5:$C$146,A91,FY2012AuditReconciliation!$K$5:$K$146)</f>
        <v>0</v>
      </c>
      <c r="H91" s="106">
        <v>0</v>
      </c>
      <c r="I91" s="106">
        <f>SUMIF('actual 2014'!$C$5:$C$121,A91,'actual 2014'!$L$5:$L$121)</f>
        <v>0</v>
      </c>
      <c r="J91" s="106">
        <v>0</v>
      </c>
      <c r="K91" s="119">
        <f>+'Line Items explanations'!H319</f>
        <v>3000</v>
      </c>
      <c r="L91" s="159">
        <f t="shared" si="23"/>
        <v>1</v>
      </c>
      <c r="M91" s="142">
        <f t="shared" si="18"/>
        <v>750</v>
      </c>
      <c r="N91" s="142">
        <f t="shared" si="19"/>
        <v>750</v>
      </c>
      <c r="O91" s="142">
        <f t="shared" si="19"/>
        <v>750</v>
      </c>
      <c r="P91" s="160">
        <f t="shared" si="19"/>
        <v>750</v>
      </c>
      <c r="Q91" s="143">
        <f t="shared" si="20"/>
        <v>3.5714285714285712</v>
      </c>
      <c r="R91" s="49"/>
      <c r="S91" s="143">
        <f t="shared" si="21"/>
        <v>0</v>
      </c>
      <c r="T91" s="145">
        <f t="shared" si="22"/>
        <v>0</v>
      </c>
      <c r="V91" s="391"/>
      <c r="W91" s="131"/>
      <c r="X91" s="131"/>
      <c r="Y91" s="394"/>
    </row>
    <row r="92" spans="1:25" x14ac:dyDescent="0.25">
      <c r="A92" s="132">
        <v>4430022.05</v>
      </c>
      <c r="B92" s="176" t="s">
        <v>113</v>
      </c>
      <c r="C92" s="106"/>
      <c r="D92" s="106" t="e">
        <f>SUMIF(#REF!,A92,#REF!)</f>
        <v>#REF!</v>
      </c>
      <c r="E92" s="106" t="e">
        <f>SUMIF(#REF!,A92,#REF!)</f>
        <v>#REF!</v>
      </c>
      <c r="F92" s="106"/>
      <c r="G92" s="106">
        <f>SUMIF(FY2012AuditReconciliation!$C$5:$C$146,A92,FY2012AuditReconciliation!$K$5:$K$146)</f>
        <v>1388</v>
      </c>
      <c r="H92" s="106">
        <v>1325</v>
      </c>
      <c r="I92" s="106">
        <f>SUMIF('actual 2014'!$C$5:$C$121,A92,'actual 2014'!$L$5:$L$121)</f>
        <v>0</v>
      </c>
      <c r="J92" s="106">
        <v>1109</v>
      </c>
      <c r="K92" s="48">
        <v>1123</v>
      </c>
      <c r="L92" s="159">
        <f t="shared" si="23"/>
        <v>1.2623985572587917E-2</v>
      </c>
      <c r="M92" s="142">
        <f t="shared" si="18"/>
        <v>280.75</v>
      </c>
      <c r="N92" s="142">
        <f t="shared" si="19"/>
        <v>280.75</v>
      </c>
      <c r="O92" s="142">
        <f t="shared" si="19"/>
        <v>280.75</v>
      </c>
      <c r="P92" s="160">
        <f t="shared" si="19"/>
        <v>280.75</v>
      </c>
      <c r="Q92" s="143">
        <f t="shared" si="20"/>
        <v>1.336904761904762</v>
      </c>
      <c r="R92" s="49">
        <v>2041</v>
      </c>
      <c r="S92" s="143">
        <f t="shared" si="21"/>
        <v>1.3392388451443571</v>
      </c>
      <c r="T92" s="145">
        <f t="shared" si="22"/>
        <v>0.55022048015678593</v>
      </c>
      <c r="V92" s="391"/>
      <c r="W92" s="131"/>
      <c r="X92" s="131"/>
      <c r="Y92" s="394"/>
    </row>
    <row r="93" spans="1:25" x14ac:dyDescent="0.25">
      <c r="A93" s="132">
        <v>4430001</v>
      </c>
      <c r="B93" s="158" t="s">
        <v>112</v>
      </c>
      <c r="C93" s="106"/>
      <c r="D93" s="106" t="e">
        <f>SUMIF(#REF!,A93,#REF!)</f>
        <v>#REF!</v>
      </c>
      <c r="E93" s="106" t="e">
        <f>SUMIF(#REF!,A93,#REF!)</f>
        <v>#REF!</v>
      </c>
      <c r="F93" s="106"/>
      <c r="G93" s="106">
        <f>SUMIF(FY2012AuditReconciliation!$C$5:$C$146,A93,FY2012AuditReconciliation!$K$5:$K$146)</f>
        <v>0</v>
      </c>
      <c r="H93" s="106">
        <v>0</v>
      </c>
      <c r="I93" s="106">
        <f>SUMIF('actual 2014'!$C$5:$C$121,A93,'actual 2014'!$L$5:$L$121)</f>
        <v>0</v>
      </c>
      <c r="J93" s="106">
        <v>0</v>
      </c>
      <c r="K93" s="48">
        <v>0</v>
      </c>
      <c r="L93" s="159" t="str">
        <f t="shared" si="23"/>
        <v/>
      </c>
      <c r="M93" s="142">
        <f t="shared" ref="M93:M100" si="24">+$K93/4</f>
        <v>0</v>
      </c>
      <c r="N93" s="142">
        <f t="shared" si="19"/>
        <v>0</v>
      </c>
      <c r="O93" s="142">
        <f t="shared" si="19"/>
        <v>0</v>
      </c>
      <c r="P93" s="160">
        <f t="shared" si="19"/>
        <v>0</v>
      </c>
      <c r="Q93" s="143">
        <f t="shared" si="20"/>
        <v>0</v>
      </c>
      <c r="R93" s="49"/>
      <c r="S93" s="143">
        <f t="shared" si="21"/>
        <v>0</v>
      </c>
      <c r="T93" s="145">
        <f t="shared" si="22"/>
        <v>0</v>
      </c>
      <c r="V93" s="391"/>
      <c r="W93" s="131"/>
      <c r="X93" s="131"/>
      <c r="Y93" s="394"/>
    </row>
    <row r="94" spans="1:25" x14ac:dyDescent="0.25">
      <c r="B94" s="158" t="s">
        <v>293</v>
      </c>
      <c r="C94" s="106"/>
      <c r="D94" s="106" t="e">
        <f>SUMIF(#REF!,A94,#REF!)</f>
        <v>#REF!</v>
      </c>
      <c r="E94" s="106" t="e">
        <f>SUMIF(#REF!,A94,#REF!)</f>
        <v>#REF!</v>
      </c>
      <c r="F94" s="106"/>
      <c r="G94" s="106">
        <f>SUMIF(FY2012AuditReconciliation!$C$5:$C$146,A94,FY2012AuditReconciliation!$K$5:$K$146)</f>
        <v>0</v>
      </c>
      <c r="H94" s="106">
        <v>0</v>
      </c>
      <c r="I94" s="106">
        <f>SUMIF('actual 2014'!$C$5:$C$121,A94,'actual 2014'!$L$5:$L$121)</f>
        <v>0</v>
      </c>
      <c r="J94" s="106">
        <v>0</v>
      </c>
      <c r="K94" s="48">
        <v>0</v>
      </c>
      <c r="L94" s="159" t="str">
        <f t="shared" si="23"/>
        <v/>
      </c>
      <c r="M94" s="142">
        <f t="shared" si="24"/>
        <v>0</v>
      </c>
      <c r="N94" s="142">
        <f t="shared" si="19"/>
        <v>0</v>
      </c>
      <c r="O94" s="142">
        <f t="shared" si="19"/>
        <v>0</v>
      </c>
      <c r="P94" s="160">
        <f t="shared" si="19"/>
        <v>0</v>
      </c>
      <c r="Q94" s="143">
        <f t="shared" si="20"/>
        <v>0</v>
      </c>
      <c r="R94" s="49"/>
      <c r="S94" s="143">
        <f t="shared" si="21"/>
        <v>0</v>
      </c>
      <c r="T94" s="145">
        <f t="shared" si="22"/>
        <v>0</v>
      </c>
      <c r="V94" s="391"/>
      <c r="W94" s="131"/>
      <c r="X94" s="131"/>
      <c r="Y94" s="394"/>
    </row>
    <row r="95" spans="1:25" x14ac:dyDescent="0.25">
      <c r="A95" s="132" t="s">
        <v>348</v>
      </c>
      <c r="B95" s="158" t="s">
        <v>408</v>
      </c>
      <c r="C95" s="106"/>
      <c r="D95" s="106" t="e">
        <f>SUMIF(#REF!,A95,#REF!)</f>
        <v>#REF!</v>
      </c>
      <c r="E95" s="106" t="e">
        <f>SUMIF(#REF!,A95,#REF!)</f>
        <v>#REF!</v>
      </c>
      <c r="F95" s="106"/>
      <c r="G95" s="106">
        <f>SUMIF(FY2012AuditReconciliation!$C$5:$C$146,A95,FY2012AuditReconciliation!$K$5:$K$146)</f>
        <v>0</v>
      </c>
      <c r="H95" s="106">
        <v>0</v>
      </c>
      <c r="I95" s="106">
        <f>SUMIF('actual 2014'!$C$5:$C$121,A95,'actual 2014'!$L$5:$L$121)</f>
        <v>0</v>
      </c>
      <c r="J95" s="106">
        <v>0</v>
      </c>
      <c r="K95" s="48">
        <v>0</v>
      </c>
      <c r="L95" s="159" t="str">
        <f t="shared" si="23"/>
        <v/>
      </c>
      <c r="M95" s="142">
        <f t="shared" si="24"/>
        <v>0</v>
      </c>
      <c r="N95" s="142">
        <f t="shared" si="19"/>
        <v>0</v>
      </c>
      <c r="O95" s="142">
        <f t="shared" si="19"/>
        <v>0</v>
      </c>
      <c r="P95" s="160">
        <f t="shared" si="19"/>
        <v>0</v>
      </c>
      <c r="Q95" s="143">
        <f t="shared" si="20"/>
        <v>0</v>
      </c>
      <c r="R95" s="49"/>
      <c r="S95" s="143">
        <f t="shared" si="21"/>
        <v>0</v>
      </c>
      <c r="T95" s="145">
        <f t="shared" si="22"/>
        <v>0</v>
      </c>
      <c r="V95" s="391"/>
      <c r="W95" s="131"/>
      <c r="X95" s="131"/>
      <c r="Y95" s="394"/>
    </row>
    <row r="96" spans="1:25" x14ac:dyDescent="0.25">
      <c r="B96" s="158" t="s">
        <v>295</v>
      </c>
      <c r="C96" s="106"/>
      <c r="D96" s="106" t="e">
        <f>SUMIF(#REF!,A96,#REF!)</f>
        <v>#REF!</v>
      </c>
      <c r="E96" s="106" t="e">
        <f>SUMIF(#REF!,A96,#REF!)</f>
        <v>#REF!</v>
      </c>
      <c r="F96" s="106"/>
      <c r="G96" s="106">
        <f>SUMIF(FY2012AuditReconciliation!$C$5:$C$146,A96,FY2012AuditReconciliation!$K$5:$K$146)</f>
        <v>0</v>
      </c>
      <c r="H96" s="106">
        <v>0</v>
      </c>
      <c r="I96" s="106">
        <f>SUMIF('actual 2014'!$C$5:$C$121,A96,'actual 2014'!$L$5:$L$121)</f>
        <v>0</v>
      </c>
      <c r="J96" s="106">
        <v>0</v>
      </c>
      <c r="K96" s="48">
        <v>0</v>
      </c>
      <c r="L96" s="159" t="str">
        <f t="shared" si="23"/>
        <v/>
      </c>
      <c r="M96" s="142">
        <f t="shared" si="24"/>
        <v>0</v>
      </c>
      <c r="N96" s="142">
        <f t="shared" si="19"/>
        <v>0</v>
      </c>
      <c r="O96" s="142">
        <f t="shared" si="19"/>
        <v>0</v>
      </c>
      <c r="P96" s="160">
        <f t="shared" si="19"/>
        <v>0</v>
      </c>
      <c r="Q96" s="143">
        <f t="shared" si="20"/>
        <v>0</v>
      </c>
      <c r="R96" s="49"/>
      <c r="S96" s="143">
        <f t="shared" si="21"/>
        <v>0</v>
      </c>
      <c r="T96" s="145">
        <f t="shared" si="22"/>
        <v>0</v>
      </c>
      <c r="V96" s="391"/>
      <c r="W96" s="131"/>
      <c r="X96" s="131"/>
      <c r="Y96" s="394"/>
    </row>
    <row r="97" spans="1:26" x14ac:dyDescent="0.25">
      <c r="B97" s="158" t="s">
        <v>438</v>
      </c>
      <c r="C97" s="106"/>
      <c r="D97" s="106">
        <v>21000</v>
      </c>
      <c r="E97" s="106">
        <v>21000</v>
      </c>
      <c r="F97" s="106"/>
      <c r="G97" s="106">
        <f>SUMIF(FY2012AuditReconciliation!$C$5:$C$146,A97,FY2012AuditReconciliation!$K$5:$K$146)</f>
        <v>0</v>
      </c>
      <c r="H97" s="106">
        <v>0</v>
      </c>
      <c r="I97" s="106">
        <f>SUMIF('actual 2014'!$C$5:$C$121,A97,'actual 2014'!$L$5:$L$121)</f>
        <v>0</v>
      </c>
      <c r="J97" s="106">
        <v>0</v>
      </c>
      <c r="K97" s="48">
        <v>0</v>
      </c>
      <c r="L97" s="159" t="str">
        <f t="shared" si="23"/>
        <v/>
      </c>
      <c r="M97" s="142">
        <f t="shared" si="24"/>
        <v>0</v>
      </c>
      <c r="N97" s="142">
        <f t="shared" si="19"/>
        <v>0</v>
      </c>
      <c r="O97" s="142">
        <f t="shared" si="19"/>
        <v>0</v>
      </c>
      <c r="P97" s="160">
        <f t="shared" si="19"/>
        <v>0</v>
      </c>
      <c r="Q97" s="143">
        <f t="shared" si="20"/>
        <v>0</v>
      </c>
      <c r="R97" s="49"/>
      <c r="S97" s="143">
        <f t="shared" si="21"/>
        <v>0</v>
      </c>
      <c r="T97" s="145">
        <f t="shared" si="22"/>
        <v>0</v>
      </c>
      <c r="V97" s="391"/>
      <c r="W97" s="131"/>
      <c r="X97" s="131"/>
      <c r="Y97" s="394"/>
    </row>
    <row r="98" spans="1:26" x14ac:dyDescent="0.25">
      <c r="B98" s="158" t="s">
        <v>53</v>
      </c>
      <c r="C98" s="106"/>
      <c r="D98" s="106" t="e">
        <f>SUMIF(#REF!,A98,#REF!)</f>
        <v>#REF!</v>
      </c>
      <c r="E98" s="106" t="e">
        <f>SUMIF(#REF!,A98,#REF!)</f>
        <v>#REF!</v>
      </c>
      <c r="F98" s="106"/>
      <c r="G98" s="106">
        <f>SUMIF(FY2012AuditReconciliation!$C$5:$C$146,A98,FY2012AuditReconciliation!$K$5:$K$146)</f>
        <v>0</v>
      </c>
      <c r="H98" s="106">
        <v>0</v>
      </c>
      <c r="I98" s="106">
        <f>SUMIF('actual 2014'!$C$5:$C$121,A98,'actual 2014'!$L$5:$L$121)</f>
        <v>0</v>
      </c>
      <c r="J98" s="106">
        <v>0</v>
      </c>
      <c r="K98" s="48">
        <v>0</v>
      </c>
      <c r="L98" s="159" t="str">
        <f t="shared" si="23"/>
        <v/>
      </c>
      <c r="M98" s="142">
        <f t="shared" si="24"/>
        <v>0</v>
      </c>
      <c r="N98" s="142">
        <f t="shared" si="19"/>
        <v>0</v>
      </c>
      <c r="O98" s="142">
        <f t="shared" si="19"/>
        <v>0</v>
      </c>
      <c r="P98" s="160">
        <f t="shared" si="19"/>
        <v>0</v>
      </c>
      <c r="Q98" s="143">
        <f t="shared" si="20"/>
        <v>0</v>
      </c>
      <c r="R98" s="49"/>
      <c r="S98" s="143">
        <f t="shared" si="21"/>
        <v>0</v>
      </c>
      <c r="T98" s="145">
        <f t="shared" si="22"/>
        <v>0</v>
      </c>
      <c r="V98" s="391"/>
      <c r="W98" s="131"/>
      <c r="X98" s="131"/>
      <c r="Y98" s="394"/>
    </row>
    <row r="99" spans="1:26" x14ac:dyDescent="0.25">
      <c r="B99" s="158" t="s">
        <v>53</v>
      </c>
      <c r="C99" s="106"/>
      <c r="D99" s="106" t="e">
        <f>SUMIF(#REF!,A99,#REF!)</f>
        <v>#REF!</v>
      </c>
      <c r="E99" s="106" t="e">
        <f>SUMIF(#REF!,A99,#REF!)</f>
        <v>#REF!</v>
      </c>
      <c r="F99" s="106"/>
      <c r="G99" s="106">
        <f>SUMIF(FY2012AuditReconciliation!$C$5:$C$146,A99,FY2012AuditReconciliation!$K$5:$K$146)</f>
        <v>0</v>
      </c>
      <c r="H99" s="106">
        <v>0</v>
      </c>
      <c r="I99" s="106">
        <f>SUMIF('actual 2014'!$C$5:$C$121,A99,'actual 2014'!$L$5:$L$121)</f>
        <v>0</v>
      </c>
      <c r="J99" s="106">
        <v>0</v>
      </c>
      <c r="K99" s="48">
        <v>0</v>
      </c>
      <c r="L99" s="159" t="str">
        <f t="shared" si="23"/>
        <v/>
      </c>
      <c r="M99" s="142">
        <f t="shared" si="24"/>
        <v>0</v>
      </c>
      <c r="N99" s="142">
        <f t="shared" si="19"/>
        <v>0</v>
      </c>
      <c r="O99" s="142">
        <f t="shared" si="19"/>
        <v>0</v>
      </c>
      <c r="P99" s="160">
        <f t="shared" si="19"/>
        <v>0</v>
      </c>
      <c r="Q99" s="143">
        <f t="shared" si="20"/>
        <v>0</v>
      </c>
      <c r="R99" s="49"/>
      <c r="S99" s="143">
        <f t="shared" si="21"/>
        <v>0</v>
      </c>
      <c r="T99" s="145">
        <f t="shared" si="22"/>
        <v>0</v>
      </c>
      <c r="V99" s="391"/>
      <c r="W99" s="131"/>
      <c r="X99" s="131"/>
      <c r="Y99" s="394"/>
    </row>
    <row r="100" spans="1:26" x14ac:dyDescent="0.25">
      <c r="B100" s="158" t="s">
        <v>53</v>
      </c>
      <c r="C100" s="106"/>
      <c r="D100" s="106" t="e">
        <f>SUMIF(#REF!,A100,#REF!)</f>
        <v>#REF!</v>
      </c>
      <c r="E100" s="106" t="e">
        <f>SUMIF(#REF!,A100,#REF!)</f>
        <v>#REF!</v>
      </c>
      <c r="F100" s="106"/>
      <c r="G100" s="106">
        <f>SUMIF(FY2012AuditReconciliation!$C$5:$C$146,A100,FY2012AuditReconciliation!$K$5:$K$146)</f>
        <v>0</v>
      </c>
      <c r="H100" s="106">
        <v>0</v>
      </c>
      <c r="I100" s="106">
        <f>SUMIF('actual 2014'!$C$5:$C$121,A100,'actual 2014'!$L$5:$L$121)</f>
        <v>0</v>
      </c>
      <c r="J100" s="106">
        <v>0</v>
      </c>
      <c r="K100" s="48">
        <v>0</v>
      </c>
      <c r="L100" s="159" t="str">
        <f t="shared" si="23"/>
        <v/>
      </c>
      <c r="M100" s="142">
        <f t="shared" si="24"/>
        <v>0</v>
      </c>
      <c r="N100" s="142">
        <f t="shared" si="19"/>
        <v>0</v>
      </c>
      <c r="O100" s="142">
        <f t="shared" si="19"/>
        <v>0</v>
      </c>
      <c r="P100" s="160">
        <f t="shared" si="19"/>
        <v>0</v>
      </c>
      <c r="Q100" s="143">
        <f t="shared" si="20"/>
        <v>0</v>
      </c>
      <c r="R100" s="49"/>
      <c r="S100" s="143">
        <f t="shared" si="21"/>
        <v>0</v>
      </c>
      <c r="T100" s="145">
        <f t="shared" si="22"/>
        <v>0</v>
      </c>
      <c r="V100" s="391"/>
      <c r="W100" s="131"/>
      <c r="X100" s="131"/>
      <c r="Y100" s="394"/>
    </row>
    <row r="101" spans="1:26" s="179" customFormat="1" x14ac:dyDescent="0.25">
      <c r="A101" s="163" t="s">
        <v>98</v>
      </c>
      <c r="B101" s="183" t="s">
        <v>35</v>
      </c>
      <c r="C101" s="110">
        <f t="shared" ref="C101:S101" si="25">SUM(C72:C100)</f>
        <v>0</v>
      </c>
      <c r="D101" s="110" t="e">
        <f t="shared" si="25"/>
        <v>#REF!</v>
      </c>
      <c r="E101" s="110" t="e">
        <f t="shared" si="25"/>
        <v>#REF!</v>
      </c>
      <c r="F101" s="110"/>
      <c r="G101" s="110">
        <f t="shared" si="25"/>
        <v>104122</v>
      </c>
      <c r="H101" s="110">
        <f>SUM(H72:H100)</f>
        <v>76370</v>
      </c>
      <c r="I101" s="121">
        <f>SUM(I72:I100)</f>
        <v>223110</v>
      </c>
      <c r="J101" s="121">
        <f>SUM(J72:J100)</f>
        <v>88591</v>
      </c>
      <c r="K101" s="121" t="e">
        <f>SUM(K72:K100)</f>
        <v>#REF!</v>
      </c>
      <c r="L101" s="352" t="e">
        <f t="shared" si="23"/>
        <v>#REF!</v>
      </c>
      <c r="M101" s="110" t="e">
        <f t="shared" si="25"/>
        <v>#REF!</v>
      </c>
      <c r="N101" s="110" t="e">
        <f t="shared" si="25"/>
        <v>#REF!</v>
      </c>
      <c r="O101" s="110" t="e">
        <f t="shared" si="25"/>
        <v>#REF!</v>
      </c>
      <c r="P101" s="178" t="e">
        <f t="shared" si="25"/>
        <v>#REF!</v>
      </c>
      <c r="Q101" s="110" t="e">
        <f t="shared" si="25"/>
        <v>#REF!</v>
      </c>
      <c r="R101" s="110">
        <f t="shared" si="25"/>
        <v>165641</v>
      </c>
      <c r="S101" s="110">
        <f t="shared" si="25"/>
        <v>108.68832020997375</v>
      </c>
      <c r="T101" s="166" t="e">
        <f t="shared" si="22"/>
        <v>#REF!</v>
      </c>
      <c r="U101" s="354"/>
      <c r="V101" s="391"/>
      <c r="W101" s="181"/>
      <c r="X101" s="181"/>
      <c r="Y101" s="399"/>
      <c r="Z101" s="400"/>
    </row>
    <row r="102" spans="1:26" x14ac:dyDescent="0.25">
      <c r="B102" s="176"/>
      <c r="C102" s="111"/>
      <c r="D102" s="111"/>
      <c r="E102" s="111"/>
      <c r="F102" s="111"/>
      <c r="G102" s="111"/>
      <c r="H102" s="111"/>
      <c r="I102" s="111"/>
      <c r="J102" s="111"/>
      <c r="K102" s="48"/>
      <c r="L102" s="159" t="str">
        <f t="shared" si="23"/>
        <v/>
      </c>
      <c r="M102" s="170"/>
      <c r="N102" s="170"/>
      <c r="O102" s="170"/>
      <c r="P102" s="171"/>
      <c r="Q102" s="170"/>
      <c r="R102" s="172"/>
      <c r="S102" s="170"/>
      <c r="T102" s="173"/>
      <c r="U102" s="355"/>
      <c r="V102" s="392"/>
      <c r="W102" s="131"/>
      <c r="X102" s="131"/>
      <c r="Y102" s="394"/>
    </row>
    <row r="103" spans="1:26" x14ac:dyDescent="0.25">
      <c r="B103" s="168" t="s">
        <v>36</v>
      </c>
      <c r="C103" s="112"/>
      <c r="D103" s="112"/>
      <c r="E103" s="112"/>
      <c r="F103" s="112"/>
      <c r="G103" s="112"/>
      <c r="H103" s="112"/>
      <c r="I103" s="112"/>
      <c r="J103" s="112"/>
      <c r="K103" s="48"/>
      <c r="L103" s="159" t="str">
        <f t="shared" si="23"/>
        <v/>
      </c>
      <c r="M103" s="142"/>
      <c r="N103" s="142"/>
      <c r="O103" s="142"/>
      <c r="P103" s="160"/>
      <c r="Q103" s="170"/>
      <c r="R103" s="172"/>
      <c r="S103" s="170"/>
      <c r="T103" s="182"/>
      <c r="V103" s="391"/>
      <c r="W103" s="131"/>
      <c r="X103" s="131"/>
      <c r="Y103" s="394"/>
    </row>
    <row r="104" spans="1:26" x14ac:dyDescent="0.25">
      <c r="A104" s="132">
        <v>4330001</v>
      </c>
      <c r="B104" s="176" t="s">
        <v>37</v>
      </c>
      <c r="C104" s="106"/>
      <c r="D104" s="106" t="e">
        <f>SUMIF(#REF!,A104,#REF!)</f>
        <v>#REF!</v>
      </c>
      <c r="E104" s="106" t="e">
        <f>SUMIF(#REF!,A104,#REF!)</f>
        <v>#REF!</v>
      </c>
      <c r="F104" s="106"/>
      <c r="G104" s="106">
        <v>2274</v>
      </c>
      <c r="H104" s="106">
        <v>3025</v>
      </c>
      <c r="I104" s="106">
        <v>2384</v>
      </c>
      <c r="J104" s="106">
        <v>2475</v>
      </c>
      <c r="K104" s="48">
        <v>3025</v>
      </c>
      <c r="L104" s="159">
        <f t="shared" si="23"/>
        <v>0.22222222222222221</v>
      </c>
      <c r="M104" s="142">
        <f>+K104/4</f>
        <v>756.25</v>
      </c>
      <c r="N104" s="142">
        <f t="shared" ref="N104:P115" si="26">+$K104/4</f>
        <v>756.25</v>
      </c>
      <c r="O104" s="142">
        <f t="shared" si="26"/>
        <v>756.25</v>
      </c>
      <c r="P104" s="160">
        <f t="shared" si="26"/>
        <v>756.25</v>
      </c>
      <c r="Q104" s="143">
        <f>IF(K104=0,0,K104/$K$5/12)</f>
        <v>3.6011904761904763</v>
      </c>
      <c r="R104" s="49">
        <v>5500</v>
      </c>
      <c r="S104" s="143">
        <f>IF(R104=0,0,R104/$K$4/12)</f>
        <v>3.6089238845144358</v>
      </c>
      <c r="T104" s="145">
        <f t="shared" ref="T104:T116" si="27">IF(R104=0,0,(K104/R104))</f>
        <v>0.55000000000000004</v>
      </c>
      <c r="V104" s="391"/>
      <c r="W104" s="131"/>
      <c r="X104" s="131"/>
      <c r="Y104" s="394"/>
    </row>
    <row r="105" spans="1:26" x14ac:dyDescent="0.25">
      <c r="A105" s="132">
        <v>4320001</v>
      </c>
      <c r="B105" s="176" t="s">
        <v>38</v>
      </c>
      <c r="C105" s="106"/>
      <c r="D105" s="106" t="e">
        <f>SUMIF(#REF!,A105,#REF!)</f>
        <v>#REF!</v>
      </c>
      <c r="E105" s="106" t="e">
        <f>SUMIF(#REF!,A105,#REF!)</f>
        <v>#REF!</v>
      </c>
      <c r="F105" s="106"/>
      <c r="G105" s="106">
        <v>12036</v>
      </c>
      <c r="H105" s="106">
        <v>12295</v>
      </c>
      <c r="I105" s="106">
        <v>7190</v>
      </c>
      <c r="J105" s="106">
        <v>9625</v>
      </c>
      <c r="K105" s="48">
        <v>9900</v>
      </c>
      <c r="L105" s="159">
        <f t="shared" si="23"/>
        <v>2.8571428571428571E-2</v>
      </c>
      <c r="M105" s="142">
        <f>+K105/4</f>
        <v>2475</v>
      </c>
      <c r="N105" s="142">
        <f t="shared" si="26"/>
        <v>2475</v>
      </c>
      <c r="O105" s="142">
        <f t="shared" si="26"/>
        <v>2475</v>
      </c>
      <c r="P105" s="160">
        <f t="shared" si="26"/>
        <v>2475</v>
      </c>
      <c r="Q105" s="143">
        <f>IF(K105=0,0,K105/$K$5/12)</f>
        <v>11.785714285714285</v>
      </c>
      <c r="R105" s="49">
        <v>18000</v>
      </c>
      <c r="S105" s="143">
        <f>IF(R105=0,0,R105/$K$4/12)</f>
        <v>11.811023622047244</v>
      </c>
      <c r="T105" s="145">
        <f t="shared" si="27"/>
        <v>0.55000000000000004</v>
      </c>
      <c r="V105" s="391"/>
      <c r="W105" s="131"/>
      <c r="X105" s="131"/>
      <c r="Y105" s="394"/>
    </row>
    <row r="106" spans="1:26" x14ac:dyDescent="0.25">
      <c r="A106" s="132">
        <v>4310001</v>
      </c>
      <c r="B106" s="176" t="s">
        <v>39</v>
      </c>
      <c r="C106" s="106"/>
      <c r="D106" s="106" t="e">
        <f>SUMIF(#REF!,A106,#REF!)</f>
        <v>#REF!</v>
      </c>
      <c r="E106" s="106" t="e">
        <f>SUMIF(#REF!,A106,#REF!)</f>
        <v>#REF!</v>
      </c>
      <c r="F106" s="106"/>
      <c r="G106" s="106">
        <v>26430</v>
      </c>
      <c r="H106" s="106">
        <v>19755</v>
      </c>
      <c r="I106" s="106">
        <v>32894</v>
      </c>
      <c r="J106" s="106">
        <v>26593</v>
      </c>
      <c r="K106" s="48">
        <v>28000</v>
      </c>
      <c r="L106" s="159">
        <f t="shared" si="23"/>
        <v>5.2908660173729929E-2</v>
      </c>
      <c r="M106" s="142">
        <f>+K106/4</f>
        <v>7000</v>
      </c>
      <c r="N106" s="142">
        <f t="shared" si="26"/>
        <v>7000</v>
      </c>
      <c r="O106" s="142">
        <f t="shared" si="26"/>
        <v>7000</v>
      </c>
      <c r="P106" s="160">
        <f t="shared" si="26"/>
        <v>7000</v>
      </c>
      <c r="Q106" s="143">
        <f>IF(K106=0,0,K106/$K$5/12)</f>
        <v>33.333333333333336</v>
      </c>
      <c r="R106" s="49">
        <f>32500+30000</f>
        <v>62500</v>
      </c>
      <c r="S106" s="143">
        <f>IF(R106=0,0,R106/$K$4/12)</f>
        <v>41.010498687664047</v>
      </c>
      <c r="T106" s="145">
        <f t="shared" si="27"/>
        <v>0.44800000000000001</v>
      </c>
      <c r="V106" s="391"/>
      <c r="W106" s="131"/>
      <c r="X106" s="131"/>
      <c r="Y106" s="394"/>
    </row>
    <row r="107" spans="1:26" x14ac:dyDescent="0.25">
      <c r="B107" s="176" t="s">
        <v>53</v>
      </c>
      <c r="C107" s="106"/>
      <c r="D107" s="106"/>
      <c r="E107" s="106"/>
      <c r="F107" s="106"/>
      <c r="G107" s="106">
        <v>0</v>
      </c>
      <c r="H107" s="106">
        <v>0</v>
      </c>
      <c r="I107" s="106">
        <v>0</v>
      </c>
      <c r="J107" s="106">
        <v>0</v>
      </c>
      <c r="K107" s="48">
        <v>0</v>
      </c>
      <c r="L107" s="159" t="str">
        <f t="shared" si="23"/>
        <v/>
      </c>
      <c r="M107" s="142">
        <f>+K107/4</f>
        <v>0</v>
      </c>
      <c r="N107" s="142">
        <f t="shared" si="26"/>
        <v>0</v>
      </c>
      <c r="O107" s="142">
        <f t="shared" si="26"/>
        <v>0</v>
      </c>
      <c r="P107" s="160">
        <f t="shared" si="26"/>
        <v>0</v>
      </c>
      <c r="Q107" s="143">
        <f t="shared" ref="Q107:Q115" si="28">IF(K107=0,0,K107/$C$5/12)</f>
        <v>0</v>
      </c>
      <c r="R107" s="49">
        <v>0</v>
      </c>
      <c r="S107" s="143">
        <f t="shared" ref="S107:S115" si="29">IF(R107=0,0,R107/$C$4/12)</f>
        <v>0</v>
      </c>
      <c r="T107" s="145">
        <f t="shared" si="27"/>
        <v>0</v>
      </c>
      <c r="V107" s="391"/>
      <c r="W107" s="131"/>
      <c r="X107" s="131"/>
      <c r="Y107" s="394"/>
    </row>
    <row r="108" spans="1:26" x14ac:dyDescent="0.25">
      <c r="B108" s="158" t="s">
        <v>53</v>
      </c>
      <c r="C108" s="106"/>
      <c r="D108" s="106"/>
      <c r="E108" s="106"/>
      <c r="F108" s="106"/>
      <c r="G108" s="106">
        <v>0</v>
      </c>
      <c r="H108" s="106">
        <v>0</v>
      </c>
      <c r="I108" s="106">
        <v>0</v>
      </c>
      <c r="J108" s="106">
        <v>0</v>
      </c>
      <c r="K108" s="48">
        <v>0</v>
      </c>
      <c r="L108" s="159" t="str">
        <f t="shared" si="23"/>
        <v/>
      </c>
      <c r="M108" s="142">
        <f t="shared" ref="M108:M115" si="30">+$K108/4</f>
        <v>0</v>
      </c>
      <c r="N108" s="142">
        <f t="shared" si="26"/>
        <v>0</v>
      </c>
      <c r="O108" s="142">
        <f t="shared" si="26"/>
        <v>0</v>
      </c>
      <c r="P108" s="160">
        <f t="shared" si="26"/>
        <v>0</v>
      </c>
      <c r="Q108" s="143">
        <f t="shared" si="28"/>
        <v>0</v>
      </c>
      <c r="R108" s="49">
        <v>0</v>
      </c>
      <c r="S108" s="143">
        <f t="shared" si="29"/>
        <v>0</v>
      </c>
      <c r="T108" s="145">
        <f t="shared" si="27"/>
        <v>0</v>
      </c>
      <c r="V108" s="391"/>
      <c r="W108" s="131"/>
      <c r="X108" s="131"/>
      <c r="Y108" s="394"/>
    </row>
    <row r="109" spans="1:26" x14ac:dyDescent="0.25">
      <c r="B109" s="158" t="s">
        <v>53</v>
      </c>
      <c r="C109" s="106"/>
      <c r="D109" s="106"/>
      <c r="E109" s="106"/>
      <c r="F109" s="106"/>
      <c r="G109" s="106">
        <v>0</v>
      </c>
      <c r="H109" s="106">
        <v>0</v>
      </c>
      <c r="I109" s="106">
        <v>0</v>
      </c>
      <c r="J109" s="106">
        <v>0</v>
      </c>
      <c r="K109" s="48">
        <v>0</v>
      </c>
      <c r="L109" s="159" t="str">
        <f t="shared" si="23"/>
        <v/>
      </c>
      <c r="M109" s="142">
        <f t="shared" si="30"/>
        <v>0</v>
      </c>
      <c r="N109" s="142">
        <f t="shared" si="26"/>
        <v>0</v>
      </c>
      <c r="O109" s="142">
        <f t="shared" si="26"/>
        <v>0</v>
      </c>
      <c r="P109" s="160">
        <f t="shared" si="26"/>
        <v>0</v>
      </c>
      <c r="Q109" s="143">
        <f t="shared" si="28"/>
        <v>0</v>
      </c>
      <c r="R109" s="49">
        <v>0</v>
      </c>
      <c r="S109" s="143">
        <f t="shared" si="29"/>
        <v>0</v>
      </c>
      <c r="T109" s="145">
        <f t="shared" si="27"/>
        <v>0</v>
      </c>
      <c r="V109" s="391"/>
      <c r="W109" s="131"/>
      <c r="X109" s="131"/>
      <c r="Y109" s="394"/>
    </row>
    <row r="110" spans="1:26" x14ac:dyDescent="0.25">
      <c r="B110" s="158" t="s">
        <v>53</v>
      </c>
      <c r="C110" s="106"/>
      <c r="D110" s="106"/>
      <c r="E110" s="106"/>
      <c r="F110" s="106"/>
      <c r="G110" s="106">
        <v>0</v>
      </c>
      <c r="H110" s="106">
        <v>0</v>
      </c>
      <c r="I110" s="106">
        <v>0</v>
      </c>
      <c r="J110" s="106">
        <v>0</v>
      </c>
      <c r="K110" s="48">
        <v>0</v>
      </c>
      <c r="L110" s="159" t="str">
        <f t="shared" si="23"/>
        <v/>
      </c>
      <c r="M110" s="142">
        <f t="shared" si="30"/>
        <v>0</v>
      </c>
      <c r="N110" s="142">
        <f t="shared" si="26"/>
        <v>0</v>
      </c>
      <c r="O110" s="142">
        <f t="shared" si="26"/>
        <v>0</v>
      </c>
      <c r="P110" s="160">
        <f t="shared" si="26"/>
        <v>0</v>
      </c>
      <c r="Q110" s="143">
        <f t="shared" si="28"/>
        <v>0</v>
      </c>
      <c r="R110" s="49">
        <v>0</v>
      </c>
      <c r="S110" s="143">
        <f t="shared" si="29"/>
        <v>0</v>
      </c>
      <c r="T110" s="145">
        <f t="shared" si="27"/>
        <v>0</v>
      </c>
      <c r="V110" s="391"/>
      <c r="W110" s="131"/>
      <c r="X110" s="131"/>
      <c r="Y110" s="394"/>
    </row>
    <row r="111" spans="1:26" x14ac:dyDescent="0.25">
      <c r="B111" s="158" t="s">
        <v>53</v>
      </c>
      <c r="C111" s="106"/>
      <c r="D111" s="106"/>
      <c r="E111" s="106"/>
      <c r="F111" s="106"/>
      <c r="G111" s="106">
        <v>0</v>
      </c>
      <c r="H111" s="106">
        <v>0</v>
      </c>
      <c r="I111" s="106">
        <v>0</v>
      </c>
      <c r="J111" s="106">
        <v>0</v>
      </c>
      <c r="K111" s="48">
        <v>0</v>
      </c>
      <c r="L111" s="159" t="str">
        <f t="shared" si="23"/>
        <v/>
      </c>
      <c r="M111" s="142">
        <f t="shared" si="30"/>
        <v>0</v>
      </c>
      <c r="N111" s="142">
        <f t="shared" si="26"/>
        <v>0</v>
      </c>
      <c r="O111" s="142">
        <f t="shared" si="26"/>
        <v>0</v>
      </c>
      <c r="P111" s="160">
        <f t="shared" si="26"/>
        <v>0</v>
      </c>
      <c r="Q111" s="143">
        <f t="shared" si="28"/>
        <v>0</v>
      </c>
      <c r="R111" s="49">
        <v>0</v>
      </c>
      <c r="S111" s="143">
        <f t="shared" si="29"/>
        <v>0</v>
      </c>
      <c r="T111" s="145">
        <f t="shared" si="27"/>
        <v>0</v>
      </c>
      <c r="V111" s="391"/>
      <c r="W111" s="131"/>
      <c r="X111" s="131"/>
      <c r="Y111" s="394"/>
    </row>
    <row r="112" spans="1:26" x14ac:dyDescent="0.25">
      <c r="B112" s="158" t="s">
        <v>53</v>
      </c>
      <c r="C112" s="106"/>
      <c r="D112" s="106"/>
      <c r="E112" s="106"/>
      <c r="F112" s="106"/>
      <c r="G112" s="106">
        <v>0</v>
      </c>
      <c r="H112" s="106">
        <v>0</v>
      </c>
      <c r="I112" s="106">
        <v>0</v>
      </c>
      <c r="J112" s="106">
        <v>0</v>
      </c>
      <c r="K112" s="48">
        <v>0</v>
      </c>
      <c r="L112" s="159" t="str">
        <f t="shared" si="23"/>
        <v/>
      </c>
      <c r="M112" s="142">
        <f t="shared" si="30"/>
        <v>0</v>
      </c>
      <c r="N112" s="142">
        <f t="shared" si="26"/>
        <v>0</v>
      </c>
      <c r="O112" s="142">
        <f t="shared" si="26"/>
        <v>0</v>
      </c>
      <c r="P112" s="160">
        <f t="shared" si="26"/>
        <v>0</v>
      </c>
      <c r="Q112" s="143">
        <f t="shared" si="28"/>
        <v>0</v>
      </c>
      <c r="R112" s="49">
        <v>0</v>
      </c>
      <c r="S112" s="143">
        <f t="shared" si="29"/>
        <v>0</v>
      </c>
      <c r="T112" s="145">
        <f t="shared" si="27"/>
        <v>0</v>
      </c>
      <c r="V112" s="391"/>
      <c r="W112" s="131"/>
      <c r="X112" s="131"/>
      <c r="Y112" s="394"/>
    </row>
    <row r="113" spans="1:26" x14ac:dyDescent="0.25">
      <c r="B113" s="158" t="s">
        <v>53</v>
      </c>
      <c r="C113" s="106"/>
      <c r="D113" s="106"/>
      <c r="E113" s="106"/>
      <c r="F113" s="106"/>
      <c r="G113" s="106">
        <v>0</v>
      </c>
      <c r="H113" s="106">
        <v>0</v>
      </c>
      <c r="I113" s="106">
        <v>0</v>
      </c>
      <c r="J113" s="106">
        <v>0</v>
      </c>
      <c r="K113" s="48">
        <v>0</v>
      </c>
      <c r="L113" s="159" t="str">
        <f t="shared" si="23"/>
        <v/>
      </c>
      <c r="M113" s="142">
        <f t="shared" si="30"/>
        <v>0</v>
      </c>
      <c r="N113" s="142">
        <f t="shared" si="26"/>
        <v>0</v>
      </c>
      <c r="O113" s="142">
        <f t="shared" si="26"/>
        <v>0</v>
      </c>
      <c r="P113" s="160">
        <f t="shared" si="26"/>
        <v>0</v>
      </c>
      <c r="Q113" s="143">
        <f t="shared" si="28"/>
        <v>0</v>
      </c>
      <c r="R113" s="49">
        <v>0</v>
      </c>
      <c r="S113" s="143">
        <f t="shared" si="29"/>
        <v>0</v>
      </c>
      <c r="T113" s="145">
        <f t="shared" si="27"/>
        <v>0</v>
      </c>
      <c r="V113" s="391"/>
      <c r="W113" s="131"/>
      <c r="X113" s="131"/>
      <c r="Y113" s="394"/>
    </row>
    <row r="114" spans="1:26" x14ac:dyDescent="0.25">
      <c r="B114" s="158" t="s">
        <v>53</v>
      </c>
      <c r="C114" s="106"/>
      <c r="D114" s="106"/>
      <c r="E114" s="106"/>
      <c r="F114" s="106"/>
      <c r="G114" s="106">
        <v>0</v>
      </c>
      <c r="H114" s="106">
        <v>0</v>
      </c>
      <c r="I114" s="106">
        <v>0</v>
      </c>
      <c r="J114" s="106">
        <v>0</v>
      </c>
      <c r="K114" s="48">
        <v>0</v>
      </c>
      <c r="L114" s="159" t="str">
        <f t="shared" si="23"/>
        <v/>
      </c>
      <c r="M114" s="142">
        <f t="shared" si="30"/>
        <v>0</v>
      </c>
      <c r="N114" s="142">
        <f t="shared" si="26"/>
        <v>0</v>
      </c>
      <c r="O114" s="142">
        <f t="shared" si="26"/>
        <v>0</v>
      </c>
      <c r="P114" s="160">
        <f t="shared" si="26"/>
        <v>0</v>
      </c>
      <c r="Q114" s="143">
        <f t="shared" si="28"/>
        <v>0</v>
      </c>
      <c r="R114" s="49">
        <v>0</v>
      </c>
      <c r="S114" s="143">
        <f t="shared" si="29"/>
        <v>0</v>
      </c>
      <c r="T114" s="145">
        <f t="shared" si="27"/>
        <v>0</v>
      </c>
      <c r="V114" s="391"/>
      <c r="W114" s="131"/>
      <c r="X114" s="131"/>
      <c r="Y114" s="394"/>
    </row>
    <row r="115" spans="1:26" x14ac:dyDescent="0.25">
      <c r="B115" s="158" t="s">
        <v>53</v>
      </c>
      <c r="C115" s="106"/>
      <c r="D115" s="106"/>
      <c r="E115" s="106"/>
      <c r="F115" s="106"/>
      <c r="G115" s="106">
        <v>0</v>
      </c>
      <c r="H115" s="106">
        <v>0</v>
      </c>
      <c r="I115" s="106">
        <v>0</v>
      </c>
      <c r="J115" s="106">
        <v>0</v>
      </c>
      <c r="K115" s="48">
        <v>0</v>
      </c>
      <c r="L115" s="159" t="str">
        <f t="shared" si="23"/>
        <v/>
      </c>
      <c r="M115" s="142">
        <f t="shared" si="30"/>
        <v>0</v>
      </c>
      <c r="N115" s="142">
        <f t="shared" si="26"/>
        <v>0</v>
      </c>
      <c r="O115" s="142">
        <f t="shared" si="26"/>
        <v>0</v>
      </c>
      <c r="P115" s="160">
        <f t="shared" si="26"/>
        <v>0</v>
      </c>
      <c r="Q115" s="143">
        <f t="shared" si="28"/>
        <v>0</v>
      </c>
      <c r="R115" s="49">
        <v>0</v>
      </c>
      <c r="S115" s="143">
        <f t="shared" si="29"/>
        <v>0</v>
      </c>
      <c r="T115" s="145">
        <f t="shared" si="27"/>
        <v>0</v>
      </c>
      <c r="V115" s="391"/>
      <c r="W115" s="131"/>
      <c r="X115" s="131"/>
      <c r="Y115" s="394"/>
    </row>
    <row r="116" spans="1:26" s="179" customFormat="1" x14ac:dyDescent="0.25">
      <c r="A116" s="163" t="s">
        <v>99</v>
      </c>
      <c r="B116" s="177" t="s">
        <v>40</v>
      </c>
      <c r="C116" s="110">
        <f t="shared" ref="C116:K116" si="31">SUM(C104:C115)</f>
        <v>0</v>
      </c>
      <c r="D116" s="110" t="e">
        <f t="shared" si="31"/>
        <v>#REF!</v>
      </c>
      <c r="E116" s="110" t="e">
        <f>SUM(E104:E106)</f>
        <v>#REF!</v>
      </c>
      <c r="F116" s="110"/>
      <c r="G116" s="110">
        <f>SUM(G104:G115)</f>
        <v>40740</v>
      </c>
      <c r="H116" s="110">
        <f t="shared" si="31"/>
        <v>35075</v>
      </c>
      <c r="I116" s="121">
        <f t="shared" si="31"/>
        <v>42468</v>
      </c>
      <c r="J116" s="121">
        <f t="shared" si="31"/>
        <v>38693</v>
      </c>
      <c r="K116" s="121">
        <f t="shared" si="31"/>
        <v>40925</v>
      </c>
      <c r="L116" s="352">
        <f t="shared" si="23"/>
        <v>5.768485255731011E-2</v>
      </c>
      <c r="M116" s="110">
        <f t="shared" ref="M116:S116" si="32">SUM(M104:M115)</f>
        <v>10231.25</v>
      </c>
      <c r="N116" s="110">
        <f t="shared" si="32"/>
        <v>10231.25</v>
      </c>
      <c r="O116" s="110">
        <f t="shared" si="32"/>
        <v>10231.25</v>
      </c>
      <c r="P116" s="178">
        <f t="shared" si="32"/>
        <v>10231.25</v>
      </c>
      <c r="Q116" s="110">
        <f t="shared" si="32"/>
        <v>48.720238095238095</v>
      </c>
      <c r="R116" s="110">
        <f t="shared" si="32"/>
        <v>86000</v>
      </c>
      <c r="S116" s="110">
        <f t="shared" si="32"/>
        <v>56.430446194225723</v>
      </c>
      <c r="T116" s="166">
        <f t="shared" si="27"/>
        <v>0.47587209302325584</v>
      </c>
      <c r="U116" s="354"/>
      <c r="V116" s="391"/>
      <c r="W116" s="181"/>
      <c r="X116" s="181"/>
      <c r="Y116" s="399"/>
      <c r="Z116" s="400"/>
    </row>
    <row r="117" spans="1:26" x14ac:dyDescent="0.25">
      <c r="B117" s="184"/>
      <c r="C117" s="104"/>
      <c r="D117" s="104"/>
      <c r="E117" s="104"/>
      <c r="F117" s="104"/>
      <c r="G117" s="104"/>
      <c r="H117" s="104"/>
      <c r="I117" s="104"/>
      <c r="J117" s="104"/>
      <c r="K117" s="48"/>
      <c r="L117" s="159" t="str">
        <f t="shared" si="23"/>
        <v/>
      </c>
      <c r="M117" s="143"/>
      <c r="N117" s="143"/>
      <c r="O117" s="143"/>
      <c r="P117" s="144"/>
      <c r="Q117" s="143"/>
      <c r="R117" s="49"/>
      <c r="S117" s="143"/>
      <c r="T117" s="145"/>
      <c r="V117" s="391"/>
      <c r="W117" s="131"/>
      <c r="X117" s="131"/>
      <c r="Y117" s="394"/>
    </row>
    <row r="118" spans="1:26" x14ac:dyDescent="0.25">
      <c r="B118" s="185" t="s">
        <v>64</v>
      </c>
      <c r="C118" s="113"/>
      <c r="D118" s="113"/>
      <c r="E118" s="113"/>
      <c r="F118" s="113"/>
      <c r="G118" s="113"/>
      <c r="H118" s="113"/>
      <c r="I118" s="113"/>
      <c r="J118" s="113"/>
      <c r="K118" s="175"/>
      <c r="L118" s="159" t="str">
        <f t="shared" si="23"/>
        <v/>
      </c>
      <c r="M118" s="143"/>
      <c r="N118" s="143"/>
      <c r="O118" s="143"/>
      <c r="P118" s="144"/>
      <c r="Q118" s="143"/>
      <c r="R118" s="49"/>
      <c r="S118" s="143"/>
      <c r="T118" s="182"/>
      <c r="V118" s="391"/>
      <c r="W118" s="131"/>
      <c r="X118" s="131"/>
      <c r="Y118" s="394"/>
    </row>
    <row r="119" spans="1:26" x14ac:dyDescent="0.25">
      <c r="A119" s="132">
        <v>4520001</v>
      </c>
      <c r="B119" s="176" t="s">
        <v>41</v>
      </c>
      <c r="C119" s="106"/>
      <c r="D119" s="106" t="e">
        <f>SUMIF(#REF!,A119,#REF!)</f>
        <v>#REF!</v>
      </c>
      <c r="E119" s="106" t="e">
        <f>SUMIF(#REF!,A119,#REF!)</f>
        <v>#REF!</v>
      </c>
      <c r="F119" s="106"/>
      <c r="G119" s="106">
        <f>SUMIF(FY2012AuditReconciliation!$C$5:$C$146,A119,FY2012AuditReconciliation!$K$5:$K$146)</f>
        <v>0</v>
      </c>
      <c r="H119" s="106">
        <v>0</v>
      </c>
      <c r="I119" s="106">
        <f>SUMIF('actual 2014'!$C$5:$C$121,A119,'actual 2014'!$L$5:$L$121)</f>
        <v>0</v>
      </c>
      <c r="J119" s="106">
        <v>0</v>
      </c>
      <c r="K119" s="48"/>
      <c r="L119" s="159" t="str">
        <f t="shared" si="23"/>
        <v/>
      </c>
      <c r="M119" s="142">
        <f t="shared" ref="M119:P128" si="33">+$K119/4</f>
        <v>0</v>
      </c>
      <c r="N119" s="142">
        <f t="shared" si="33"/>
        <v>0</v>
      </c>
      <c r="O119" s="142">
        <f t="shared" si="33"/>
        <v>0</v>
      </c>
      <c r="P119" s="160">
        <f t="shared" si="33"/>
        <v>0</v>
      </c>
      <c r="Q119" s="143">
        <f t="shared" ref="Q119:Q135" si="34">IF(K119=0,0,K119/$K$5/12)</f>
        <v>0</v>
      </c>
      <c r="R119" s="49"/>
      <c r="S119" s="143">
        <f t="shared" ref="S119:S135" si="35">IF(R119=0,0,R119/$K$4/12)</f>
        <v>0</v>
      </c>
      <c r="T119" s="145">
        <f t="shared" ref="T119:T136" si="36">IF(R119=0,0,(K119/R119))</f>
        <v>0</v>
      </c>
      <c r="V119" s="391"/>
      <c r="W119" s="131"/>
      <c r="X119" s="131"/>
      <c r="Y119" s="394"/>
    </row>
    <row r="120" spans="1:26" x14ac:dyDescent="0.25">
      <c r="A120" s="132">
        <v>4540004</v>
      </c>
      <c r="B120" s="176" t="s">
        <v>42</v>
      </c>
      <c r="C120" s="106"/>
      <c r="D120" s="106" t="e">
        <f>SUMIF(#REF!,A120,#REF!)</f>
        <v>#REF!</v>
      </c>
      <c r="E120" s="106" t="e">
        <f>SUMIF(#REF!,A120,#REF!)</f>
        <v>#REF!</v>
      </c>
      <c r="F120" s="106"/>
      <c r="G120" s="106">
        <f>SUMIF(FY2012AuditReconciliation!$C$5:$C$146,A120,FY2012AuditReconciliation!$K$5:$K$146)</f>
        <v>13876</v>
      </c>
      <c r="H120" s="106">
        <v>13042</v>
      </c>
      <c r="I120" s="106">
        <f>SUMIF('actual 2014'!$C$5:$C$121,A120,'actual 2014'!$L$5:$L$121)</f>
        <v>24964</v>
      </c>
      <c r="J120" s="106">
        <v>16353.2701</v>
      </c>
      <c r="K120" s="48">
        <v>13357</v>
      </c>
      <c r="L120" s="159">
        <f t="shared" si="23"/>
        <v>-0.1832214646781869</v>
      </c>
      <c r="M120" s="142">
        <f t="shared" si="33"/>
        <v>3339.25</v>
      </c>
      <c r="N120" s="142">
        <f t="shared" si="33"/>
        <v>3339.25</v>
      </c>
      <c r="O120" s="142">
        <f t="shared" si="33"/>
        <v>3339.25</v>
      </c>
      <c r="P120" s="160">
        <f t="shared" si="33"/>
        <v>3339.25</v>
      </c>
      <c r="Q120" s="143">
        <f t="shared" si="34"/>
        <v>15.901190476190477</v>
      </c>
      <c r="R120" s="49">
        <v>24613</v>
      </c>
      <c r="S120" s="143">
        <f t="shared" si="35"/>
        <v>16.150262467191599</v>
      </c>
      <c r="T120" s="145">
        <f t="shared" si="36"/>
        <v>0.54268069719254053</v>
      </c>
      <c r="V120" s="391"/>
      <c r="W120" s="131"/>
      <c r="X120" s="131"/>
      <c r="Y120" s="394"/>
    </row>
    <row r="121" spans="1:26" x14ac:dyDescent="0.25">
      <c r="A121" s="132">
        <v>4510015</v>
      </c>
      <c r="B121" s="176" t="s">
        <v>43</v>
      </c>
      <c r="C121" s="106"/>
      <c r="D121" s="106" t="e">
        <f>SUMIF(#REF!,A121,#REF!)</f>
        <v>#REF!</v>
      </c>
      <c r="E121" s="106" t="e">
        <f>SUMIF(#REF!,A121,#REF!)</f>
        <v>#REF!</v>
      </c>
      <c r="F121" s="106"/>
      <c r="G121" s="106">
        <f>SUMIF(FY2012AuditReconciliation!$C$5:$C$146,A121,FY2012AuditReconciliation!$K$5:$K$146)</f>
        <v>0</v>
      </c>
      <c r="H121" s="106">
        <v>23786</v>
      </c>
      <c r="I121" s="106">
        <f>SUMIF('actual 2014'!$C$5:$C$121,A121,'actual 2014'!$L$5:$L$121)</f>
        <v>0</v>
      </c>
      <c r="J121" s="106">
        <v>26176</v>
      </c>
      <c r="K121" s="48">
        <f>R121*0.55</f>
        <v>26249.300000000003</v>
      </c>
      <c r="L121" s="159">
        <f t="shared" si="23"/>
        <v>2.8002750611248054E-3</v>
      </c>
      <c r="M121" s="142">
        <f t="shared" si="33"/>
        <v>6562.3250000000007</v>
      </c>
      <c r="N121" s="142">
        <f t="shared" si="33"/>
        <v>6562.3250000000007</v>
      </c>
      <c r="O121" s="142">
        <f t="shared" si="33"/>
        <v>6562.3250000000007</v>
      </c>
      <c r="P121" s="160">
        <f t="shared" si="33"/>
        <v>6562.3250000000007</v>
      </c>
      <c r="Q121" s="143">
        <f t="shared" si="34"/>
        <v>31.249166666666671</v>
      </c>
      <c r="R121" s="49">
        <v>47726</v>
      </c>
      <c r="S121" s="143">
        <f t="shared" si="35"/>
        <v>31.316272965879264</v>
      </c>
      <c r="T121" s="145">
        <f t="shared" si="36"/>
        <v>0.55000000000000004</v>
      </c>
      <c r="V121" s="391"/>
      <c r="W121" s="131"/>
      <c r="X121" s="131"/>
      <c r="Y121" s="394"/>
    </row>
    <row r="122" spans="1:26" x14ac:dyDescent="0.25">
      <c r="A122" s="132">
        <v>4540005</v>
      </c>
      <c r="B122" s="176" t="s">
        <v>44</v>
      </c>
      <c r="C122" s="106"/>
      <c r="D122" s="106" t="e">
        <f>SUMIF(#REF!,A122,#REF!)</f>
        <v>#REF!</v>
      </c>
      <c r="E122" s="106" t="e">
        <f>SUMIF(#REF!,A122,#REF!)</f>
        <v>#REF!</v>
      </c>
      <c r="F122" s="106"/>
      <c r="G122" s="106">
        <f>SUMIF(FY2012AuditReconciliation!$C$5:$C$146,A122,FY2012AuditReconciliation!$K$5:$K$146)</f>
        <v>0</v>
      </c>
      <c r="H122" s="106">
        <v>6357</v>
      </c>
      <c r="I122" s="106">
        <v>15510</v>
      </c>
      <c r="J122" s="106">
        <v>20435.25</v>
      </c>
      <c r="K122" s="48">
        <v>22112</v>
      </c>
      <c r="L122" s="159">
        <f t="shared" si="23"/>
        <v>8.2051846686485366E-2</v>
      </c>
      <c r="M122" s="142">
        <f t="shared" si="33"/>
        <v>5528</v>
      </c>
      <c r="N122" s="142">
        <f t="shared" si="33"/>
        <v>5528</v>
      </c>
      <c r="O122" s="142">
        <f t="shared" si="33"/>
        <v>5528</v>
      </c>
      <c r="P122" s="160">
        <f t="shared" si="33"/>
        <v>5528</v>
      </c>
      <c r="Q122" s="143">
        <f t="shared" si="34"/>
        <v>26.323809523809526</v>
      </c>
      <c r="R122" s="49">
        <v>40203</v>
      </c>
      <c r="S122" s="143">
        <f t="shared" si="35"/>
        <v>26.379921259842519</v>
      </c>
      <c r="T122" s="145">
        <f t="shared" si="36"/>
        <v>0.55000870581797379</v>
      </c>
      <c r="V122" s="391"/>
      <c r="W122" s="131"/>
      <c r="X122" s="131"/>
      <c r="Y122" s="394"/>
    </row>
    <row r="123" spans="1:26" ht="15.6" customHeight="1" x14ac:dyDescent="0.25">
      <c r="A123" s="132">
        <v>4540001</v>
      </c>
      <c r="B123" s="176" t="s">
        <v>45</v>
      </c>
      <c r="C123" s="106"/>
      <c r="D123" s="106" t="e">
        <f>SUMIF(#REF!,A123,#REF!)</f>
        <v>#REF!</v>
      </c>
      <c r="E123" s="106" t="e">
        <f>SUMIF(#REF!,A123,#REF!)</f>
        <v>#REF!</v>
      </c>
      <c r="F123" s="106"/>
      <c r="G123" s="106">
        <f>SUMIF(FY2012AuditReconciliation!$C$5:$C$146,A123,FY2012AuditReconciliation!$K$5:$K$146)</f>
        <v>0</v>
      </c>
      <c r="H123" s="106"/>
      <c r="I123" s="106">
        <f>SUMIF('actual 2014'!$C$5:$C$121,A123,'actual 2014'!$L$5:$L$121)</f>
        <v>0</v>
      </c>
      <c r="J123" s="106"/>
      <c r="K123" s="48"/>
      <c r="L123" s="159" t="str">
        <f t="shared" si="23"/>
        <v/>
      </c>
      <c r="M123" s="142">
        <f t="shared" si="33"/>
        <v>0</v>
      </c>
      <c r="N123" s="142">
        <f t="shared" si="33"/>
        <v>0</v>
      </c>
      <c r="O123" s="142">
        <f t="shared" si="33"/>
        <v>0</v>
      </c>
      <c r="P123" s="160">
        <f t="shared" si="33"/>
        <v>0</v>
      </c>
      <c r="Q123" s="143">
        <f t="shared" si="34"/>
        <v>0</v>
      </c>
      <c r="R123" s="49"/>
      <c r="S123" s="143">
        <f t="shared" si="35"/>
        <v>0</v>
      </c>
      <c r="T123" s="145">
        <f t="shared" si="36"/>
        <v>0</v>
      </c>
      <c r="V123" s="391"/>
      <c r="W123" s="131"/>
      <c r="X123" s="131"/>
      <c r="Y123" s="394"/>
    </row>
    <row r="124" spans="1:26" ht="15.6" customHeight="1" x14ac:dyDescent="0.25">
      <c r="A124" s="132">
        <v>4540101.01</v>
      </c>
      <c r="B124" s="176" t="s">
        <v>46</v>
      </c>
      <c r="C124" s="106"/>
      <c r="D124" s="106" t="e">
        <f>SUMIF(#REF!,A124,#REF!)</f>
        <v>#REF!</v>
      </c>
      <c r="E124" s="106" t="e">
        <f>SUMIF(#REF!,A124,#REF!)</f>
        <v>#REF!</v>
      </c>
      <c r="F124" s="106"/>
      <c r="G124" s="106">
        <f>SUMIF(FY2012AuditReconciliation!$C$5:$C$146,A124,FY2012AuditReconciliation!$K$5:$K$146)</f>
        <v>65634</v>
      </c>
      <c r="H124" s="106">
        <v>2119</v>
      </c>
      <c r="I124" s="106">
        <v>6491</v>
      </c>
      <c r="J124" s="106">
        <v>6219</v>
      </c>
      <c r="K124" s="48">
        <v>6404</v>
      </c>
      <c r="L124" s="159">
        <f t="shared" si="23"/>
        <v>2.9747547837272872E-2</v>
      </c>
      <c r="M124" s="142">
        <f t="shared" si="33"/>
        <v>1601</v>
      </c>
      <c r="N124" s="142">
        <f t="shared" si="33"/>
        <v>1601</v>
      </c>
      <c r="O124" s="142">
        <f t="shared" si="33"/>
        <v>1601</v>
      </c>
      <c r="P124" s="160">
        <f t="shared" si="33"/>
        <v>1601</v>
      </c>
      <c r="Q124" s="143">
        <f t="shared" si="34"/>
        <v>7.6238095238095234</v>
      </c>
      <c r="R124" s="49">
        <v>11643</v>
      </c>
      <c r="S124" s="143">
        <f t="shared" si="35"/>
        <v>7.6397637795275593</v>
      </c>
      <c r="T124" s="145">
        <f t="shared" si="36"/>
        <v>0.55003006098084684</v>
      </c>
      <c r="V124" s="391"/>
      <c r="W124" s="131"/>
      <c r="X124" s="131"/>
      <c r="Y124" s="394"/>
    </row>
    <row r="125" spans="1:26" ht="15.6" customHeight="1" x14ac:dyDescent="0.25">
      <c r="A125" s="132">
        <v>4580001</v>
      </c>
      <c r="B125" s="176" t="s">
        <v>47</v>
      </c>
      <c r="C125" s="106"/>
      <c r="D125" s="106" t="e">
        <f>SUMIF(#REF!,A125,#REF!)</f>
        <v>#REF!</v>
      </c>
      <c r="E125" s="106" t="e">
        <f>SUMIF(#REF!,A125,#REF!)</f>
        <v>#REF!</v>
      </c>
      <c r="F125" s="106"/>
      <c r="G125" s="106">
        <f>SUMIF(FY2012AuditReconciliation!$C$5:$C$146,A125,FY2012AuditReconciliation!$K$5:$K$146)</f>
        <v>0</v>
      </c>
      <c r="H125" s="106"/>
      <c r="I125" s="106">
        <f>SUMIF('actual 2014'!$C$5:$C$121,A125,'actual 2014'!$L$5:$L$121)</f>
        <v>0</v>
      </c>
      <c r="J125" s="106"/>
      <c r="K125" s="48"/>
      <c r="L125" s="159" t="str">
        <f t="shared" si="23"/>
        <v/>
      </c>
      <c r="M125" s="142">
        <f>+K125/4</f>
        <v>0</v>
      </c>
      <c r="N125" s="142">
        <f t="shared" si="33"/>
        <v>0</v>
      </c>
      <c r="O125" s="142">
        <f t="shared" si="33"/>
        <v>0</v>
      </c>
      <c r="P125" s="160">
        <f t="shared" si="33"/>
        <v>0</v>
      </c>
      <c r="Q125" s="143">
        <f t="shared" si="34"/>
        <v>0</v>
      </c>
      <c r="R125" s="49"/>
      <c r="S125" s="143">
        <f t="shared" si="35"/>
        <v>0</v>
      </c>
      <c r="T125" s="145">
        <f t="shared" si="36"/>
        <v>0</v>
      </c>
      <c r="V125" s="391"/>
      <c r="W125" s="131"/>
      <c r="X125" s="131"/>
      <c r="Y125" s="394"/>
    </row>
    <row r="126" spans="1:26" ht="15.6" customHeight="1" x14ac:dyDescent="0.25">
      <c r="A126" s="132">
        <v>4580002</v>
      </c>
      <c r="B126" s="176" t="s">
        <v>55</v>
      </c>
      <c r="C126" s="106"/>
      <c r="D126" s="106" t="e">
        <f>SUMIF(#REF!,A126,#REF!)</f>
        <v>#REF!</v>
      </c>
      <c r="E126" s="106" t="e">
        <f>SUMIF(#REF!,A126,#REF!)</f>
        <v>#REF!</v>
      </c>
      <c r="F126" s="106"/>
      <c r="G126" s="106">
        <f>SUMIF(FY2012AuditReconciliation!$C$5:$C$146,A126,FY2012AuditReconciliation!$K$5:$K$146)</f>
        <v>0</v>
      </c>
      <c r="H126" s="106">
        <v>0</v>
      </c>
      <c r="I126" s="106">
        <f>SUMIF('actual 2014'!$C$5:$C$121,A126,'actual 2014'!$L$5:$L$121)</f>
        <v>0</v>
      </c>
      <c r="J126" s="106">
        <v>0</v>
      </c>
      <c r="K126" s="48"/>
      <c r="L126" s="159" t="str">
        <f t="shared" si="23"/>
        <v/>
      </c>
      <c r="M126" s="142">
        <f>+K126/4</f>
        <v>0</v>
      </c>
      <c r="N126" s="142">
        <f t="shared" si="33"/>
        <v>0</v>
      </c>
      <c r="O126" s="142">
        <f t="shared" si="33"/>
        <v>0</v>
      </c>
      <c r="P126" s="160">
        <f t="shared" si="33"/>
        <v>0</v>
      </c>
      <c r="Q126" s="143">
        <f t="shared" si="34"/>
        <v>0</v>
      </c>
      <c r="R126" s="49"/>
      <c r="S126" s="143">
        <f t="shared" si="35"/>
        <v>0</v>
      </c>
      <c r="T126" s="145">
        <f t="shared" si="36"/>
        <v>0</v>
      </c>
      <c r="V126" s="391"/>
      <c r="W126" s="131"/>
      <c r="X126" s="131"/>
      <c r="Y126" s="394"/>
    </row>
    <row r="127" spans="1:26" x14ac:dyDescent="0.25">
      <c r="A127" s="132">
        <v>4540003</v>
      </c>
      <c r="B127" s="176" t="s">
        <v>105</v>
      </c>
      <c r="C127" s="106"/>
      <c r="D127" s="106" t="e">
        <f>SUMIF(#REF!,A127,#REF!)</f>
        <v>#REF!</v>
      </c>
      <c r="E127" s="106" t="e">
        <f>SUMIF(#REF!,A127,#REF!)</f>
        <v>#REF!</v>
      </c>
      <c r="F127" s="106"/>
      <c r="G127" s="106">
        <f>SUMIF(FY2012AuditReconciliation!$C$5:$C$146,A127,FY2012AuditReconciliation!$K$5:$K$146)</f>
        <v>15419</v>
      </c>
      <c r="H127" s="106">
        <v>0</v>
      </c>
      <c r="I127" s="106">
        <f>SUMIF('actual 2014'!$C$5:$C$121,A127,'actual 2014'!$L$5:$L$121)</f>
        <v>43309</v>
      </c>
      <c r="J127" s="106">
        <v>0</v>
      </c>
      <c r="K127" s="48"/>
      <c r="L127" s="159" t="str">
        <f t="shared" si="23"/>
        <v/>
      </c>
      <c r="M127" s="142">
        <f>+K127/4</f>
        <v>0</v>
      </c>
      <c r="N127" s="142">
        <f t="shared" si="33"/>
        <v>0</v>
      </c>
      <c r="O127" s="142">
        <f t="shared" si="33"/>
        <v>0</v>
      </c>
      <c r="P127" s="160">
        <f t="shared" si="33"/>
        <v>0</v>
      </c>
      <c r="Q127" s="143">
        <f t="shared" si="34"/>
        <v>0</v>
      </c>
      <c r="R127" s="49"/>
      <c r="S127" s="143">
        <f t="shared" si="35"/>
        <v>0</v>
      </c>
      <c r="T127" s="145">
        <f t="shared" si="36"/>
        <v>0</v>
      </c>
      <c r="V127" s="391"/>
      <c r="W127" s="131"/>
      <c r="X127" s="131"/>
      <c r="Y127" s="394"/>
    </row>
    <row r="128" spans="1:26" ht="15.6" customHeight="1" x14ac:dyDescent="0.25">
      <c r="B128" s="176" t="s">
        <v>294</v>
      </c>
      <c r="C128" s="106"/>
      <c r="D128" s="106" t="e">
        <f>SUMIF(#REF!,A128,#REF!)</f>
        <v>#REF!</v>
      </c>
      <c r="E128" s="106" t="e">
        <f>SUMIF(#REF!,A128,#REF!)</f>
        <v>#REF!</v>
      </c>
      <c r="F128" s="106"/>
      <c r="G128" s="106">
        <f>SUMIF(FY2012AuditReconciliation!$C$5:$C$146,A128,FY2012AuditReconciliation!$K$5:$K$146)</f>
        <v>0</v>
      </c>
      <c r="H128" s="106">
        <v>0</v>
      </c>
      <c r="I128" s="106">
        <f>SUMIF('actual 2014'!$C$5:$C$121,A128,'actual 2014'!$L$5:$L$121)</f>
        <v>0</v>
      </c>
      <c r="J128" s="106">
        <v>0</v>
      </c>
      <c r="K128" s="48"/>
      <c r="L128" s="159" t="str">
        <f t="shared" si="23"/>
        <v/>
      </c>
      <c r="M128" s="142">
        <f>+K128/4</f>
        <v>0</v>
      </c>
      <c r="N128" s="142">
        <f t="shared" si="33"/>
        <v>0</v>
      </c>
      <c r="O128" s="142">
        <f t="shared" si="33"/>
        <v>0</v>
      </c>
      <c r="P128" s="160">
        <f t="shared" si="33"/>
        <v>0</v>
      </c>
      <c r="Q128" s="143">
        <f t="shared" si="34"/>
        <v>0</v>
      </c>
      <c r="R128" s="49"/>
      <c r="S128" s="143">
        <f t="shared" si="35"/>
        <v>0</v>
      </c>
      <c r="T128" s="145">
        <f t="shared" si="36"/>
        <v>0</v>
      </c>
      <c r="V128" s="391"/>
      <c r="W128" s="131"/>
      <c r="X128" s="131"/>
      <c r="Y128" s="394"/>
    </row>
    <row r="129" spans="1:26" ht="15.6" customHeight="1" x14ac:dyDescent="0.25">
      <c r="B129" s="176" t="s">
        <v>53</v>
      </c>
      <c r="C129" s="106"/>
      <c r="D129" s="106" t="e">
        <f>SUMIF(#REF!,A129,#REF!)</f>
        <v>#REF!</v>
      </c>
      <c r="E129" s="106" t="e">
        <f>SUMIF(#REF!,A129,#REF!)</f>
        <v>#REF!</v>
      </c>
      <c r="F129" s="106"/>
      <c r="G129" s="106">
        <f>SUMIF(FY2012AuditReconciliation!$C$5:$C$146,A129,FY2012AuditReconciliation!$K$5:$K$146)</f>
        <v>0</v>
      </c>
      <c r="H129" s="106">
        <v>0</v>
      </c>
      <c r="I129" s="106">
        <v>0</v>
      </c>
      <c r="J129" s="106">
        <v>0</v>
      </c>
      <c r="K129" s="48">
        <v>0</v>
      </c>
      <c r="L129" s="159" t="str">
        <f t="shared" si="23"/>
        <v/>
      </c>
      <c r="M129" s="142">
        <f>+K129/4</f>
        <v>0</v>
      </c>
      <c r="N129" s="142">
        <f>+$K129/4</f>
        <v>0</v>
      </c>
      <c r="O129" s="142">
        <f>+$K129/4</f>
        <v>0</v>
      </c>
      <c r="P129" s="160">
        <f>+$K129/4</f>
        <v>0</v>
      </c>
      <c r="Q129" s="143">
        <f t="shared" si="34"/>
        <v>0</v>
      </c>
      <c r="R129" s="49"/>
      <c r="S129" s="143">
        <f t="shared" si="35"/>
        <v>0</v>
      </c>
      <c r="T129" s="145">
        <f t="shared" si="36"/>
        <v>0</v>
      </c>
      <c r="V129" s="391"/>
      <c r="W129" s="131"/>
      <c r="X129" s="131"/>
      <c r="Y129" s="394"/>
    </row>
    <row r="130" spans="1:26" ht="15.6" customHeight="1" x14ac:dyDescent="0.25">
      <c r="B130" s="158" t="s">
        <v>53</v>
      </c>
      <c r="C130" s="106"/>
      <c r="D130" s="106" t="e">
        <f>SUMIF(#REF!,A130,#REF!)</f>
        <v>#REF!</v>
      </c>
      <c r="E130" s="106" t="e">
        <f>SUMIF(#REF!,A130,#REF!)</f>
        <v>#REF!</v>
      </c>
      <c r="F130" s="106"/>
      <c r="G130" s="106">
        <f>SUMIF(FY2012AuditReconciliation!$C$5:$C$146,A130,FY2012AuditReconciliation!$K$5:$K$146)</f>
        <v>0</v>
      </c>
      <c r="H130" s="106">
        <v>0</v>
      </c>
      <c r="I130" s="106">
        <v>0</v>
      </c>
      <c r="J130" s="106">
        <v>0</v>
      </c>
      <c r="K130" s="48">
        <v>0</v>
      </c>
      <c r="L130" s="159" t="str">
        <f t="shared" si="23"/>
        <v/>
      </c>
      <c r="M130" s="142">
        <f t="shared" ref="M130:P135" si="37">+$K130/4</f>
        <v>0</v>
      </c>
      <c r="N130" s="142">
        <f t="shared" si="37"/>
        <v>0</v>
      </c>
      <c r="O130" s="142">
        <f t="shared" si="37"/>
        <v>0</v>
      </c>
      <c r="P130" s="160">
        <f t="shared" si="37"/>
        <v>0</v>
      </c>
      <c r="Q130" s="143">
        <f t="shared" si="34"/>
        <v>0</v>
      </c>
      <c r="R130" s="49"/>
      <c r="S130" s="143">
        <f t="shared" si="35"/>
        <v>0</v>
      </c>
      <c r="T130" s="145">
        <f t="shared" si="36"/>
        <v>0</v>
      </c>
      <c r="V130" s="391"/>
      <c r="W130" s="131"/>
      <c r="X130" s="131"/>
      <c r="Y130" s="394"/>
    </row>
    <row r="131" spans="1:26" ht="15.6" customHeight="1" x14ac:dyDescent="0.25">
      <c r="B131" s="158" t="s">
        <v>53</v>
      </c>
      <c r="C131" s="106"/>
      <c r="D131" s="106" t="e">
        <f>SUMIF(#REF!,A131,#REF!)</f>
        <v>#REF!</v>
      </c>
      <c r="E131" s="106" t="e">
        <f>SUMIF(#REF!,A131,#REF!)</f>
        <v>#REF!</v>
      </c>
      <c r="F131" s="106"/>
      <c r="G131" s="106">
        <f>SUMIF(FY2012AuditReconciliation!$C$5:$C$146,A131,FY2012AuditReconciliation!$K$5:$K$146)</f>
        <v>0</v>
      </c>
      <c r="H131" s="106">
        <v>0</v>
      </c>
      <c r="I131" s="106">
        <v>0</v>
      </c>
      <c r="J131" s="106">
        <v>0</v>
      </c>
      <c r="K131" s="48">
        <v>0</v>
      </c>
      <c r="L131" s="159" t="str">
        <f t="shared" si="23"/>
        <v/>
      </c>
      <c r="M131" s="142">
        <f t="shared" si="37"/>
        <v>0</v>
      </c>
      <c r="N131" s="142">
        <f t="shared" si="37"/>
        <v>0</v>
      </c>
      <c r="O131" s="142">
        <f t="shared" si="37"/>
        <v>0</v>
      </c>
      <c r="P131" s="160">
        <f t="shared" si="37"/>
        <v>0</v>
      </c>
      <c r="Q131" s="143">
        <f t="shared" si="34"/>
        <v>0</v>
      </c>
      <c r="R131" s="49"/>
      <c r="S131" s="143">
        <f t="shared" si="35"/>
        <v>0</v>
      </c>
      <c r="T131" s="145">
        <f t="shared" si="36"/>
        <v>0</v>
      </c>
      <c r="V131" s="391"/>
      <c r="W131" s="131"/>
      <c r="X131" s="131"/>
      <c r="Y131" s="394"/>
    </row>
    <row r="132" spans="1:26" ht="15.6" customHeight="1" x14ac:dyDescent="0.25">
      <c r="B132" s="158" t="s">
        <v>53</v>
      </c>
      <c r="C132" s="106"/>
      <c r="D132" s="106" t="e">
        <f>SUMIF(#REF!,A132,#REF!)</f>
        <v>#REF!</v>
      </c>
      <c r="E132" s="106" t="e">
        <f>SUMIF(#REF!,A132,#REF!)</f>
        <v>#REF!</v>
      </c>
      <c r="F132" s="106"/>
      <c r="G132" s="106">
        <f>SUMIF(FY2012AuditReconciliation!$C$5:$C$146,A132,FY2012AuditReconciliation!$K$5:$K$146)</f>
        <v>0</v>
      </c>
      <c r="H132" s="106">
        <v>0</v>
      </c>
      <c r="I132" s="106">
        <v>0</v>
      </c>
      <c r="J132" s="106">
        <v>0</v>
      </c>
      <c r="K132" s="48">
        <v>0</v>
      </c>
      <c r="L132" s="159" t="str">
        <f t="shared" si="23"/>
        <v/>
      </c>
      <c r="M132" s="142">
        <f t="shared" si="37"/>
        <v>0</v>
      </c>
      <c r="N132" s="142">
        <f t="shared" si="37"/>
        <v>0</v>
      </c>
      <c r="O132" s="142">
        <f t="shared" si="37"/>
        <v>0</v>
      </c>
      <c r="P132" s="160">
        <f t="shared" si="37"/>
        <v>0</v>
      </c>
      <c r="Q132" s="143">
        <f t="shared" si="34"/>
        <v>0</v>
      </c>
      <c r="R132" s="49"/>
      <c r="S132" s="143">
        <f t="shared" si="35"/>
        <v>0</v>
      </c>
      <c r="T132" s="145">
        <f t="shared" si="36"/>
        <v>0</v>
      </c>
      <c r="V132" s="391"/>
      <c r="W132" s="131"/>
      <c r="X132" s="131"/>
      <c r="Y132" s="394"/>
    </row>
    <row r="133" spans="1:26" ht="15.6" customHeight="1" x14ac:dyDescent="0.25">
      <c r="B133" s="158" t="s">
        <v>53</v>
      </c>
      <c r="C133" s="106"/>
      <c r="D133" s="106" t="e">
        <f>SUMIF(#REF!,A133,#REF!)</f>
        <v>#REF!</v>
      </c>
      <c r="E133" s="106" t="e">
        <f>SUMIF(#REF!,A133,#REF!)</f>
        <v>#REF!</v>
      </c>
      <c r="F133" s="106"/>
      <c r="G133" s="106">
        <f>SUMIF(FY2012AuditReconciliation!$C$5:$C$146,A133,FY2012AuditReconciliation!$K$5:$K$146)</f>
        <v>0</v>
      </c>
      <c r="H133" s="106">
        <v>0</v>
      </c>
      <c r="I133" s="106">
        <v>0</v>
      </c>
      <c r="J133" s="106">
        <v>0</v>
      </c>
      <c r="K133" s="48">
        <v>0</v>
      </c>
      <c r="L133" s="159" t="str">
        <f t="shared" si="23"/>
        <v/>
      </c>
      <c r="M133" s="142">
        <f t="shared" si="37"/>
        <v>0</v>
      </c>
      <c r="N133" s="142">
        <f t="shared" si="37"/>
        <v>0</v>
      </c>
      <c r="O133" s="142">
        <f t="shared" si="37"/>
        <v>0</v>
      </c>
      <c r="P133" s="160">
        <f t="shared" si="37"/>
        <v>0</v>
      </c>
      <c r="Q133" s="143">
        <f t="shared" si="34"/>
        <v>0</v>
      </c>
      <c r="R133" s="49"/>
      <c r="S133" s="143">
        <f t="shared" si="35"/>
        <v>0</v>
      </c>
      <c r="T133" s="145">
        <f t="shared" si="36"/>
        <v>0</v>
      </c>
      <c r="V133" s="391"/>
      <c r="W133" s="131"/>
      <c r="X133" s="131"/>
      <c r="Y133" s="394"/>
    </row>
    <row r="134" spans="1:26" ht="15.6" customHeight="1" x14ac:dyDescent="0.25">
      <c r="B134" s="158" t="s">
        <v>53</v>
      </c>
      <c r="C134" s="106"/>
      <c r="D134" s="106" t="e">
        <f>SUMIF(#REF!,A134,#REF!)</f>
        <v>#REF!</v>
      </c>
      <c r="E134" s="106" t="e">
        <f>SUMIF(#REF!,A134,#REF!)</f>
        <v>#REF!</v>
      </c>
      <c r="F134" s="106"/>
      <c r="G134" s="106">
        <f>SUMIF(FY2012AuditReconciliation!$C$5:$C$146,A134,FY2012AuditReconciliation!$K$5:$K$146)</f>
        <v>0</v>
      </c>
      <c r="H134" s="106">
        <v>0</v>
      </c>
      <c r="I134" s="106">
        <v>0</v>
      </c>
      <c r="J134" s="106">
        <v>0</v>
      </c>
      <c r="K134" s="48">
        <v>0</v>
      </c>
      <c r="L134" s="159" t="str">
        <f t="shared" si="23"/>
        <v/>
      </c>
      <c r="M134" s="142">
        <f t="shared" si="37"/>
        <v>0</v>
      </c>
      <c r="N134" s="142">
        <f t="shared" si="37"/>
        <v>0</v>
      </c>
      <c r="O134" s="142">
        <f t="shared" si="37"/>
        <v>0</v>
      </c>
      <c r="P134" s="160">
        <f t="shared" si="37"/>
        <v>0</v>
      </c>
      <c r="Q134" s="143">
        <f t="shared" si="34"/>
        <v>0</v>
      </c>
      <c r="R134" s="49"/>
      <c r="S134" s="143">
        <f t="shared" si="35"/>
        <v>0</v>
      </c>
      <c r="T134" s="145">
        <f t="shared" si="36"/>
        <v>0</v>
      </c>
      <c r="V134" s="391"/>
      <c r="W134" s="131"/>
      <c r="X134" s="131"/>
      <c r="Y134" s="394"/>
    </row>
    <row r="135" spans="1:26" ht="15.6" customHeight="1" x14ac:dyDescent="0.25">
      <c r="B135" s="158" t="s">
        <v>53</v>
      </c>
      <c r="C135" s="106"/>
      <c r="D135" s="106" t="e">
        <f>SUMIF(#REF!,A135,#REF!)</f>
        <v>#REF!</v>
      </c>
      <c r="E135" s="106" t="e">
        <f>SUMIF(#REF!,A135,#REF!)</f>
        <v>#REF!</v>
      </c>
      <c r="F135" s="106"/>
      <c r="G135" s="106">
        <f>SUMIF(FY2012AuditReconciliation!$C$5:$C$146,A135,FY2012AuditReconciliation!$K$5:$K$146)</f>
        <v>0</v>
      </c>
      <c r="H135" s="106">
        <v>0</v>
      </c>
      <c r="I135" s="106">
        <v>0</v>
      </c>
      <c r="J135" s="106">
        <v>0</v>
      </c>
      <c r="K135" s="48">
        <v>0</v>
      </c>
      <c r="L135" s="159" t="str">
        <f t="shared" si="23"/>
        <v/>
      </c>
      <c r="M135" s="142">
        <f t="shared" si="37"/>
        <v>0</v>
      </c>
      <c r="N135" s="142">
        <f t="shared" si="37"/>
        <v>0</v>
      </c>
      <c r="O135" s="142">
        <f t="shared" si="37"/>
        <v>0</v>
      </c>
      <c r="P135" s="160">
        <f t="shared" si="37"/>
        <v>0</v>
      </c>
      <c r="Q135" s="143">
        <f t="shared" si="34"/>
        <v>0</v>
      </c>
      <c r="R135" s="49"/>
      <c r="S135" s="143">
        <f t="shared" si="35"/>
        <v>0</v>
      </c>
      <c r="T135" s="145">
        <f t="shared" si="36"/>
        <v>0</v>
      </c>
      <c r="V135" s="391"/>
      <c r="W135" s="131"/>
      <c r="X135" s="131"/>
      <c r="Y135" s="394"/>
    </row>
    <row r="136" spans="1:26" s="179" customFormat="1" ht="15.6" customHeight="1" x14ac:dyDescent="0.25">
      <c r="A136" s="163" t="s">
        <v>100</v>
      </c>
      <c r="B136" s="186" t="s">
        <v>63</v>
      </c>
      <c r="C136" s="110">
        <f>SUM(C119:C135)</f>
        <v>0</v>
      </c>
      <c r="D136" s="110" t="e">
        <f>SUM(D119:D135)</f>
        <v>#REF!</v>
      </c>
      <c r="E136" s="110" t="e">
        <f>SUM(E119:E135)</f>
        <v>#REF!</v>
      </c>
      <c r="F136" s="110"/>
      <c r="G136" s="110">
        <f t="shared" ref="G136:S136" si="38">SUM(G119:G135)</f>
        <v>94929</v>
      </c>
      <c r="H136" s="110">
        <f>SUM(H119:H135)</f>
        <v>45304</v>
      </c>
      <c r="I136" s="121">
        <f>SUM(I119:I135)</f>
        <v>90274</v>
      </c>
      <c r="J136" s="121">
        <f>SUM(J119:J135)</f>
        <v>69183.520099999994</v>
      </c>
      <c r="K136" s="121">
        <f>SUM(K119:K135)</f>
        <v>68122.3</v>
      </c>
      <c r="L136" s="352">
        <f t="shared" si="23"/>
        <v>-1.5339203591636723E-2</v>
      </c>
      <c r="M136" s="110">
        <f t="shared" si="38"/>
        <v>17030.575000000001</v>
      </c>
      <c r="N136" s="110">
        <f t="shared" si="38"/>
        <v>17030.575000000001</v>
      </c>
      <c r="O136" s="110">
        <f t="shared" si="38"/>
        <v>17030.575000000001</v>
      </c>
      <c r="P136" s="178">
        <f t="shared" si="38"/>
        <v>17030.575000000001</v>
      </c>
      <c r="Q136" s="110">
        <f t="shared" si="38"/>
        <v>81.097976190476203</v>
      </c>
      <c r="R136" s="110">
        <f t="shared" si="38"/>
        <v>124185</v>
      </c>
      <c r="S136" s="110">
        <f t="shared" si="38"/>
        <v>81.486220472440934</v>
      </c>
      <c r="T136" s="166">
        <f t="shared" si="36"/>
        <v>0.54855497845955636</v>
      </c>
      <c r="U136" s="354"/>
      <c r="V136" s="391"/>
      <c r="W136" s="181"/>
      <c r="X136" s="181"/>
      <c r="Y136" s="399"/>
      <c r="Z136" s="400"/>
    </row>
    <row r="137" spans="1:26" s="162" customFormat="1" ht="15.6" customHeight="1" x14ac:dyDescent="0.25">
      <c r="A137" s="187"/>
      <c r="B137" s="176"/>
      <c r="C137" s="111"/>
      <c r="D137" s="111"/>
      <c r="E137" s="111"/>
      <c r="F137" s="111"/>
      <c r="G137" s="111"/>
      <c r="H137" s="111"/>
      <c r="I137" s="111"/>
      <c r="J137" s="111"/>
      <c r="K137" s="188"/>
      <c r="L137" s="159" t="str">
        <f t="shared" si="23"/>
        <v/>
      </c>
      <c r="M137" s="170"/>
      <c r="N137" s="170"/>
      <c r="O137" s="170"/>
      <c r="P137" s="171"/>
      <c r="Q137" s="170"/>
      <c r="R137" s="189"/>
      <c r="S137" s="170"/>
      <c r="T137" s="182"/>
      <c r="U137" s="354"/>
      <c r="V137" s="391"/>
      <c r="W137" s="131"/>
      <c r="X137" s="131"/>
      <c r="Y137" s="394"/>
      <c r="Z137" s="396"/>
    </row>
    <row r="138" spans="1:26" s="179" customFormat="1" ht="15.6" customHeight="1" x14ac:dyDescent="0.25">
      <c r="A138" s="163" t="s">
        <v>101</v>
      </c>
      <c r="B138" s="177" t="s">
        <v>50</v>
      </c>
      <c r="C138" s="110">
        <f>+C50+C69+C101+C136+C116</f>
        <v>0</v>
      </c>
      <c r="D138" s="110" t="e">
        <f>+D50+D69+D101+D136+D116</f>
        <v>#REF!</v>
      </c>
      <c r="E138" s="110" t="e">
        <f>+E50+E69+E101+E136+E116</f>
        <v>#REF!</v>
      </c>
      <c r="F138" s="110"/>
      <c r="G138" s="110">
        <f t="shared" ref="G138:S138" si="39">+G50+G69+G101+G136+G116</f>
        <v>478701</v>
      </c>
      <c r="H138" s="110">
        <f>+H50+H69+H101+H136+H116</f>
        <v>399383</v>
      </c>
      <c r="I138" s="121">
        <f>+I50+I69+I101+I136+I116</f>
        <v>819861</v>
      </c>
      <c r="J138" s="121">
        <f>+J50+J69+J101+J136+J116</f>
        <v>456701.60010000004</v>
      </c>
      <c r="K138" s="121" t="e">
        <f>+K50+K69+K101+K136+K116</f>
        <v>#REF!</v>
      </c>
      <c r="L138" s="352" t="e">
        <f t="shared" ref="L138:L151" si="40">IF(K138=0,"",IF(J138=0,100%,(K138-J138)/J138))</f>
        <v>#REF!</v>
      </c>
      <c r="M138" s="110" t="e">
        <f t="shared" si="39"/>
        <v>#REF!</v>
      </c>
      <c r="N138" s="110" t="e">
        <f t="shared" si="39"/>
        <v>#REF!</v>
      </c>
      <c r="O138" s="110" t="e">
        <f t="shared" si="39"/>
        <v>#REF!</v>
      </c>
      <c r="P138" s="178" t="e">
        <f t="shared" si="39"/>
        <v>#REF!</v>
      </c>
      <c r="Q138" s="110" t="e">
        <f t="shared" si="39"/>
        <v>#REF!</v>
      </c>
      <c r="R138" s="110">
        <f t="shared" si="39"/>
        <v>859343</v>
      </c>
      <c r="S138" s="110">
        <f t="shared" si="39"/>
        <v>563.87335958005247</v>
      </c>
      <c r="T138" s="166" t="e">
        <f>IF(R138=0,0,(K138/R138))</f>
        <v>#REF!</v>
      </c>
      <c r="U138" s="355"/>
      <c r="V138" s="392"/>
      <c r="W138" s="181"/>
      <c r="X138" s="181"/>
      <c r="Y138" s="399"/>
      <c r="Z138" s="400"/>
    </row>
    <row r="139" spans="1:26" s="162" customFormat="1" ht="15.6" customHeight="1" x14ac:dyDescent="0.25">
      <c r="A139" s="187"/>
      <c r="B139" s="168"/>
      <c r="C139" s="112"/>
      <c r="D139" s="112"/>
      <c r="E139" s="112"/>
      <c r="F139" s="112"/>
      <c r="G139" s="112"/>
      <c r="H139" s="112"/>
      <c r="I139" s="112"/>
      <c r="J139" s="112"/>
      <c r="K139" s="170"/>
      <c r="L139" s="159" t="str">
        <f t="shared" si="40"/>
        <v/>
      </c>
      <c r="M139" s="170"/>
      <c r="N139" s="170"/>
      <c r="O139" s="170"/>
      <c r="P139" s="171"/>
      <c r="Q139" s="170"/>
      <c r="R139" s="189"/>
      <c r="S139" s="170"/>
      <c r="T139" s="173"/>
      <c r="U139" s="354"/>
      <c r="V139" s="391"/>
      <c r="W139" s="131"/>
      <c r="X139" s="131"/>
      <c r="Y139" s="394"/>
      <c r="Z139" s="396"/>
    </row>
    <row r="140" spans="1:26" s="190" customFormat="1" ht="15.6" customHeight="1" x14ac:dyDescent="0.25">
      <c r="A140" s="163" t="s">
        <v>102</v>
      </c>
      <c r="B140" s="168" t="s">
        <v>58</v>
      </c>
      <c r="C140" s="110">
        <f>+C20-C138</f>
        <v>0</v>
      </c>
      <c r="D140" s="110" t="e">
        <f>+D20-D138</f>
        <v>#REF!</v>
      </c>
      <c r="E140" s="110" t="e">
        <f>+E20-E138</f>
        <v>#REF!</v>
      </c>
      <c r="F140" s="110"/>
      <c r="G140" s="110">
        <f t="shared" ref="G140:S140" si="41">+G20-G138</f>
        <v>-149427</v>
      </c>
      <c r="H140" s="110">
        <f>+H20-H138</f>
        <v>-69826.983999999997</v>
      </c>
      <c r="I140" s="121">
        <f>+I20-I138</f>
        <v>298060</v>
      </c>
      <c r="J140" s="121">
        <f>+J20-J138</f>
        <v>-113477.37402000005</v>
      </c>
      <c r="K140" s="121" t="e">
        <f>+K20-K138</f>
        <v>#REF!</v>
      </c>
      <c r="L140" s="352" t="e">
        <f t="shared" si="40"/>
        <v>#REF!</v>
      </c>
      <c r="M140" s="110" t="e">
        <f t="shared" si="41"/>
        <v>#REF!</v>
      </c>
      <c r="N140" s="110" t="e">
        <f t="shared" si="41"/>
        <v>#REF!</v>
      </c>
      <c r="O140" s="110" t="e">
        <f t="shared" si="41"/>
        <v>#REF!</v>
      </c>
      <c r="P140" s="110" t="e">
        <f t="shared" si="41"/>
        <v>#REF!</v>
      </c>
      <c r="Q140" s="110" t="e">
        <f t="shared" si="41"/>
        <v>#REF!</v>
      </c>
      <c r="R140" s="110">
        <f t="shared" si="41"/>
        <v>-507401</v>
      </c>
      <c r="S140" s="110">
        <f t="shared" si="41"/>
        <v>-332.94028871391072</v>
      </c>
      <c r="T140" s="166" t="e">
        <f>IF(R140=0,0,(K140/R140))</f>
        <v>#REF!</v>
      </c>
      <c r="U140" s="353"/>
      <c r="V140" s="393"/>
      <c r="W140" s="204"/>
      <c r="X140" s="204"/>
      <c r="Y140" s="401"/>
      <c r="Z140" s="402"/>
    </row>
    <row r="141" spans="1:26" ht="15.6" customHeight="1" x14ac:dyDescent="0.25">
      <c r="B141" s="168"/>
      <c r="C141" s="112"/>
      <c r="D141" s="112"/>
      <c r="E141" s="112"/>
      <c r="F141" s="112"/>
      <c r="G141" s="112"/>
      <c r="H141" s="112"/>
      <c r="I141" s="112"/>
      <c r="J141" s="112"/>
      <c r="K141" s="172"/>
      <c r="L141" s="159" t="str">
        <f t="shared" si="40"/>
        <v/>
      </c>
      <c r="M141" s="170"/>
      <c r="N141" s="170"/>
      <c r="O141" s="170"/>
      <c r="P141" s="171"/>
      <c r="Q141" s="170"/>
      <c r="R141" s="172"/>
      <c r="S141" s="170"/>
      <c r="T141" s="173"/>
      <c r="V141" s="391"/>
      <c r="W141" s="131"/>
      <c r="X141" s="131"/>
      <c r="Y141" s="394"/>
    </row>
    <row r="142" spans="1:26" ht="15.6" customHeight="1" x14ac:dyDescent="0.25">
      <c r="A142" s="132" t="s">
        <v>149</v>
      </c>
      <c r="B142" s="191" t="s">
        <v>71</v>
      </c>
      <c r="C142" s="192"/>
      <c r="D142" s="106" t="e">
        <f>SUMIF(#REF!,A142,#REF!)</f>
        <v>#REF!</v>
      </c>
      <c r="E142" s="106" t="e">
        <f>SUMIF(#REF!,A142,#REF!)</f>
        <v>#REF!</v>
      </c>
      <c r="F142" s="106"/>
      <c r="G142" s="106">
        <f>SUMIF(FY2012AuditReconciliation!$C$5:$C$146,A142,FY2012AuditReconciliation!$K$5:$K$146)</f>
        <v>0</v>
      </c>
      <c r="H142" s="106"/>
      <c r="I142" s="106"/>
      <c r="J142" s="106">
        <v>138741</v>
      </c>
      <c r="K142" s="48">
        <v>120000</v>
      </c>
      <c r="L142" s="159">
        <f t="shared" si="40"/>
        <v>-0.13507903215343697</v>
      </c>
      <c r="M142" s="193">
        <f>+$K$142/4</f>
        <v>30000</v>
      </c>
      <c r="N142" s="193">
        <f>+$K$142/4</f>
        <v>30000</v>
      </c>
      <c r="O142" s="193">
        <f>+$K$142/4</f>
        <v>30000</v>
      </c>
      <c r="P142" s="194">
        <f>+$K$142/4</f>
        <v>30000</v>
      </c>
      <c r="Q142" s="143" t="e">
        <f>IF(K142=0,0,K142/$C$5/12)</f>
        <v>#DIV/0!</v>
      </c>
      <c r="R142" s="49">
        <v>0</v>
      </c>
      <c r="S142" s="143">
        <f>IF(R142=0,0,R142/$C$4/12)</f>
        <v>0</v>
      </c>
      <c r="T142" s="166">
        <f>IF(R142=0,0,(K142/R142))</f>
        <v>0</v>
      </c>
      <c r="V142" s="391"/>
      <c r="W142" s="131"/>
      <c r="X142" s="131"/>
      <c r="Y142" s="394"/>
    </row>
    <row r="143" spans="1:26" ht="15.6" customHeight="1" x14ac:dyDescent="0.25">
      <c r="B143" s="195"/>
      <c r="C143" s="114"/>
      <c r="D143" s="114"/>
      <c r="E143" s="114"/>
      <c r="F143" s="114"/>
      <c r="G143" s="114"/>
      <c r="H143" s="114"/>
      <c r="I143" s="114"/>
      <c r="J143" s="114"/>
      <c r="K143" s="196"/>
      <c r="L143" s="159" t="str">
        <f t="shared" si="40"/>
        <v/>
      </c>
      <c r="M143" s="193"/>
      <c r="N143" s="193"/>
      <c r="O143" s="193"/>
      <c r="P143" s="194"/>
      <c r="Q143" s="170"/>
      <c r="R143" s="172"/>
      <c r="S143" s="170"/>
      <c r="T143" s="173"/>
      <c r="U143" s="355"/>
      <c r="V143" s="392"/>
      <c r="W143" s="131"/>
      <c r="X143" s="131"/>
      <c r="Y143" s="394"/>
    </row>
    <row r="144" spans="1:26" s="179" customFormat="1" ht="15.6" customHeight="1" x14ac:dyDescent="0.25">
      <c r="A144" s="197" t="s">
        <v>150</v>
      </c>
      <c r="B144" s="198" t="s">
        <v>59</v>
      </c>
      <c r="C144" s="115" t="e">
        <f>+C138/$C$5</f>
        <v>#DIV/0!</v>
      </c>
      <c r="D144" s="106" t="e">
        <f>SUMIF(#REF!,A144,#REF!)</f>
        <v>#REF!</v>
      </c>
      <c r="E144" s="115" t="e">
        <f>E138/E5</f>
        <v>#REF!</v>
      </c>
      <c r="F144" s="115"/>
      <c r="G144" s="106">
        <f>+G138/$H$5</f>
        <v>6838.5857142857139</v>
      </c>
      <c r="H144" s="106">
        <f>+H138/$H$5</f>
        <v>5705.471428571429</v>
      </c>
      <c r="I144" s="226">
        <v>6333.9875792857147</v>
      </c>
      <c r="J144" s="226">
        <v>6524.3085728571432</v>
      </c>
      <c r="K144" s="122" t="e">
        <f>+K138/$H$5</f>
        <v>#REF!</v>
      </c>
      <c r="L144" s="159" t="e">
        <f t="shared" si="40"/>
        <v>#REF!</v>
      </c>
      <c r="M144" s="115" t="e">
        <f>+M138/$C$5</f>
        <v>#REF!</v>
      </c>
      <c r="N144" s="115" t="e">
        <f>+N138/$C$5</f>
        <v>#REF!</v>
      </c>
      <c r="O144" s="115" t="e">
        <f>+O138/$C$5</f>
        <v>#REF!</v>
      </c>
      <c r="P144" s="199" t="e">
        <f>+P138/$C$5</f>
        <v>#REF!</v>
      </c>
      <c r="Q144" s="110" t="e">
        <f>+Q138</f>
        <v>#REF!</v>
      </c>
      <c r="R144" s="110">
        <f>+R138/$H$4</f>
        <v>6766.4803149606296</v>
      </c>
      <c r="S144" s="110">
        <f>+S138</f>
        <v>563.87335958005247</v>
      </c>
      <c r="T144" s="166" t="e">
        <f>IF(R144=0,0,(K144/R144))</f>
        <v>#REF!</v>
      </c>
      <c r="U144" s="354"/>
      <c r="V144" s="391"/>
      <c r="W144" s="181"/>
      <c r="X144" s="181"/>
      <c r="Y144" s="399"/>
      <c r="Z144" s="400"/>
    </row>
    <row r="145" spans="1:26" ht="15.6" customHeight="1" x14ac:dyDescent="0.25">
      <c r="B145" s="176"/>
      <c r="C145" s="111"/>
      <c r="D145" s="111"/>
      <c r="E145" s="111"/>
      <c r="F145" s="111"/>
      <c r="G145" s="111"/>
      <c r="H145" s="111"/>
      <c r="I145" s="111"/>
      <c r="J145" s="111"/>
      <c r="K145" s="48"/>
      <c r="L145" s="159" t="str">
        <f t="shared" si="40"/>
        <v/>
      </c>
      <c r="M145" s="143"/>
      <c r="N145" s="143"/>
      <c r="O145" s="143"/>
      <c r="P145" s="144"/>
      <c r="Q145" s="143"/>
      <c r="R145" s="49"/>
      <c r="S145" s="143"/>
      <c r="T145" s="145"/>
      <c r="U145" s="355"/>
      <c r="V145" s="392"/>
      <c r="W145" s="131"/>
      <c r="X145" s="131"/>
      <c r="Y145" s="394"/>
    </row>
    <row r="146" spans="1:26" s="204" customFormat="1" ht="15.6" customHeight="1" x14ac:dyDescent="0.25">
      <c r="A146" s="200"/>
      <c r="B146" s="168" t="s">
        <v>60</v>
      </c>
      <c r="C146" s="112"/>
      <c r="D146" s="112"/>
      <c r="E146" s="112"/>
      <c r="F146" s="112"/>
      <c r="G146" s="112"/>
      <c r="H146" s="112"/>
      <c r="I146" s="112"/>
      <c r="J146" s="112"/>
      <c r="K146" s="201"/>
      <c r="L146" s="159" t="str">
        <f t="shared" si="40"/>
        <v/>
      </c>
      <c r="M146" s="99"/>
      <c r="N146" s="99"/>
      <c r="O146" s="99"/>
      <c r="P146" s="202"/>
      <c r="Q146" s="99"/>
      <c r="R146" s="203"/>
      <c r="S146" s="99"/>
      <c r="T146" s="166"/>
      <c r="U146" s="354"/>
      <c r="V146" s="393"/>
      <c r="Y146" s="401"/>
      <c r="Z146" s="401"/>
    </row>
    <row r="147" spans="1:26" ht="15.6" customHeight="1" x14ac:dyDescent="0.25">
      <c r="A147" s="132" t="s">
        <v>151</v>
      </c>
      <c r="B147" s="176" t="s">
        <v>48</v>
      </c>
      <c r="C147" s="205"/>
      <c r="D147" s="106" t="e">
        <f>-SUMIF(#REF!,A147,#REF!)</f>
        <v>#REF!</v>
      </c>
      <c r="E147" s="106" t="e">
        <f>-SUMIF(#REF!,A147,#REF!)</f>
        <v>#REF!</v>
      </c>
      <c r="F147" s="106"/>
      <c r="G147" s="106">
        <v>21000</v>
      </c>
      <c r="H147" s="106">
        <v>21000</v>
      </c>
      <c r="I147" s="106">
        <v>21000</v>
      </c>
      <c r="J147" s="106">
        <v>21630</v>
      </c>
      <c r="K147" s="119" t="e">
        <f>+'Line Items explanations'!#REF!</f>
        <v>#REF!</v>
      </c>
      <c r="L147" s="159" t="e">
        <f t="shared" si="40"/>
        <v>#REF!</v>
      </c>
      <c r="M147" s="170" t="e">
        <f>+$K$147/4</f>
        <v>#REF!</v>
      </c>
      <c r="N147" s="170" t="e">
        <f t="shared" ref="N147:P148" si="42">+$K147/4</f>
        <v>#REF!</v>
      </c>
      <c r="O147" s="170" t="e">
        <f t="shared" si="42"/>
        <v>#REF!</v>
      </c>
      <c r="P147" s="171" t="e">
        <f t="shared" si="42"/>
        <v>#REF!</v>
      </c>
      <c r="Q147" s="143" t="e">
        <f>IF(K147=0,0,K147/$K$5/12)</f>
        <v>#REF!</v>
      </c>
      <c r="R147" s="49">
        <v>21630</v>
      </c>
      <c r="S147" s="143">
        <f>IF(R147=0,0,R147/$K$4/12)</f>
        <v>14.192913385826772</v>
      </c>
      <c r="T147" s="145" t="e">
        <f>IF(R147=0,0,(K147/R147))</f>
        <v>#REF!</v>
      </c>
      <c r="V147" s="391"/>
      <c r="W147" s="131"/>
      <c r="X147" s="131"/>
      <c r="Y147" s="394"/>
    </row>
    <row r="148" spans="1:26" ht="15" customHeight="1" x14ac:dyDescent="0.25">
      <c r="A148" s="132" t="s">
        <v>152</v>
      </c>
      <c r="B148" s="176" t="s">
        <v>49</v>
      </c>
      <c r="C148" s="205"/>
      <c r="D148" s="106" t="e">
        <f>SUMIF(#REF!,A148,#REF!)</f>
        <v>#REF!</v>
      </c>
      <c r="E148" s="106" t="e">
        <f>SUMIF(#REF!,A148,#REF!)</f>
        <v>#REF!</v>
      </c>
      <c r="F148" s="106"/>
      <c r="G148" s="106">
        <f>SUMIF(FY2012AuditReconciliation!$C$5:$C$146,A148,FY2012AuditReconciliation!$K$5:$K$146)</f>
        <v>0</v>
      </c>
      <c r="H148" s="106">
        <v>0</v>
      </c>
      <c r="I148" s="106">
        <v>0</v>
      </c>
      <c r="J148" s="106">
        <v>0</v>
      </c>
      <c r="K148" s="119" t="e">
        <f>+'Line Items explanations'!#REF!</f>
        <v>#REF!</v>
      </c>
      <c r="L148" s="159" t="e">
        <f t="shared" si="40"/>
        <v>#REF!</v>
      </c>
      <c r="M148" s="170">
        <v>0</v>
      </c>
      <c r="N148" s="170" t="e">
        <f t="shared" si="42"/>
        <v>#REF!</v>
      </c>
      <c r="O148" s="170" t="e">
        <f t="shared" si="42"/>
        <v>#REF!</v>
      </c>
      <c r="P148" s="171" t="e">
        <f t="shared" si="42"/>
        <v>#REF!</v>
      </c>
      <c r="Q148" s="143" t="e">
        <f>IF(K148=0,0,K148/$C$5/12)</f>
        <v>#REF!</v>
      </c>
      <c r="R148" s="49"/>
      <c r="S148" s="143">
        <f>IF(R148=0,0,R148/$C$4/12)</f>
        <v>0</v>
      </c>
      <c r="T148" s="145">
        <f>IF(R148=0,0,(K148/R148))</f>
        <v>0</v>
      </c>
      <c r="V148" s="391"/>
      <c r="W148" s="131"/>
      <c r="X148" s="131"/>
      <c r="Y148" s="394"/>
    </row>
    <row r="149" spans="1:26" s="179" customFormat="1" ht="15.6" customHeight="1" x14ac:dyDescent="0.25">
      <c r="A149" s="197" t="s">
        <v>153</v>
      </c>
      <c r="B149" s="177" t="s">
        <v>61</v>
      </c>
      <c r="C149" s="116">
        <f>SUM(C147:C148)</f>
        <v>0</v>
      </c>
      <c r="D149" s="116" t="e">
        <f>SUM(D147:D148)</f>
        <v>#REF!</v>
      </c>
      <c r="E149" s="116" t="e">
        <f>SUM(E147:E148)</f>
        <v>#REF!</v>
      </c>
      <c r="F149" s="116"/>
      <c r="G149" s="116">
        <f t="shared" ref="G149:S149" si="43">SUM(G147:G148)</f>
        <v>21000</v>
      </c>
      <c r="H149" s="116">
        <f>SUM(H147:H148)</f>
        <v>21000</v>
      </c>
      <c r="I149" s="123">
        <f>SUM(I147:I148)</f>
        <v>21000</v>
      </c>
      <c r="J149" s="123">
        <f>SUM(J147:J148)</f>
        <v>21630</v>
      </c>
      <c r="K149" s="123" t="e">
        <f>SUM(K147:K148)</f>
        <v>#REF!</v>
      </c>
      <c r="L149" s="352" t="e">
        <f t="shared" si="40"/>
        <v>#REF!</v>
      </c>
      <c r="M149" s="99" t="e">
        <f t="shared" si="43"/>
        <v>#REF!</v>
      </c>
      <c r="N149" s="99" t="e">
        <f t="shared" si="43"/>
        <v>#REF!</v>
      </c>
      <c r="O149" s="99" t="e">
        <f t="shared" si="43"/>
        <v>#REF!</v>
      </c>
      <c r="P149" s="202" t="e">
        <f t="shared" si="43"/>
        <v>#REF!</v>
      </c>
      <c r="Q149" s="99" t="e">
        <f t="shared" si="43"/>
        <v>#REF!</v>
      </c>
      <c r="R149" s="99">
        <f t="shared" si="43"/>
        <v>21630</v>
      </c>
      <c r="S149" s="99">
        <f t="shared" si="43"/>
        <v>14.192913385826772</v>
      </c>
      <c r="T149" s="166" t="e">
        <f>IF(R149=0,0,(K149/R149))</f>
        <v>#REF!</v>
      </c>
      <c r="U149" s="354"/>
      <c r="V149" s="393"/>
      <c r="W149" s="181"/>
      <c r="X149" s="181"/>
      <c r="Y149" s="399"/>
      <c r="Z149" s="400"/>
    </row>
    <row r="150" spans="1:26" s="162" customFormat="1" ht="15.6" customHeight="1" x14ac:dyDescent="0.25">
      <c r="A150" s="157"/>
      <c r="B150" s="176"/>
      <c r="C150" s="104"/>
      <c r="D150" s="104"/>
      <c r="E150" s="104"/>
      <c r="F150" s="104"/>
      <c r="G150" s="104"/>
      <c r="H150" s="104"/>
      <c r="I150" s="188"/>
      <c r="J150" s="188"/>
      <c r="K150" s="188"/>
      <c r="L150" s="159" t="str">
        <f t="shared" si="40"/>
        <v/>
      </c>
      <c r="M150" s="143"/>
      <c r="N150" s="143"/>
      <c r="O150" s="143"/>
      <c r="P150" s="143"/>
      <c r="Q150" s="143"/>
      <c r="R150" s="206"/>
      <c r="S150" s="143"/>
      <c r="T150" s="145"/>
      <c r="U150" s="354"/>
      <c r="V150" s="393"/>
      <c r="W150" s="131"/>
      <c r="X150" s="131"/>
      <c r="Y150" s="394"/>
      <c r="Z150" s="396"/>
    </row>
    <row r="151" spans="1:26" s="179" customFormat="1" ht="15.6" customHeight="1" thickBot="1" x14ac:dyDescent="0.3">
      <c r="A151" s="197" t="s">
        <v>154</v>
      </c>
      <c r="B151" s="207" t="s">
        <v>62</v>
      </c>
      <c r="C151" s="117">
        <f t="shared" ref="C151:K151" si="44">+C140-C149</f>
        <v>0</v>
      </c>
      <c r="D151" s="117" t="e">
        <f t="shared" si="44"/>
        <v>#REF!</v>
      </c>
      <c r="E151" s="117" t="e">
        <f t="shared" si="44"/>
        <v>#REF!</v>
      </c>
      <c r="F151" s="117"/>
      <c r="G151" s="117">
        <f t="shared" si="44"/>
        <v>-170427</v>
      </c>
      <c r="H151" s="117">
        <f t="shared" si="44"/>
        <v>-90826.983999999997</v>
      </c>
      <c r="I151" s="124">
        <f>+I140-I149</f>
        <v>277060</v>
      </c>
      <c r="J151" s="124">
        <f>+J140-J149</f>
        <v>-135107.37402000005</v>
      </c>
      <c r="K151" s="124" t="e">
        <f t="shared" si="44"/>
        <v>#REF!</v>
      </c>
      <c r="L151" s="352" t="e">
        <f t="shared" si="40"/>
        <v>#REF!</v>
      </c>
      <c r="M151" s="117" t="e">
        <f t="shared" ref="M151:S151" si="45">+M140-M149</f>
        <v>#REF!</v>
      </c>
      <c r="N151" s="117" t="e">
        <f t="shared" si="45"/>
        <v>#REF!</v>
      </c>
      <c r="O151" s="117" t="e">
        <f t="shared" si="45"/>
        <v>#REF!</v>
      </c>
      <c r="P151" s="117" t="e">
        <f t="shared" si="45"/>
        <v>#REF!</v>
      </c>
      <c r="Q151" s="117" t="e">
        <f t="shared" si="45"/>
        <v>#REF!</v>
      </c>
      <c r="R151" s="117">
        <f t="shared" si="45"/>
        <v>-529031</v>
      </c>
      <c r="S151" s="117">
        <f t="shared" si="45"/>
        <v>-347.1332020997375</v>
      </c>
      <c r="T151" s="208" t="e">
        <f>IF(R151=0,0,(K151/R151))</f>
        <v>#REF!</v>
      </c>
      <c r="U151" s="354"/>
      <c r="V151" s="393"/>
      <c r="W151" s="181"/>
      <c r="X151" s="181"/>
      <c r="Y151" s="399"/>
      <c r="Z151" s="400"/>
    </row>
    <row r="152" spans="1:26" s="133" customFormat="1" ht="15.6" customHeight="1" x14ac:dyDescent="0.25">
      <c r="A152" s="209"/>
      <c r="B152" s="210"/>
      <c r="C152" s="211"/>
      <c r="D152" s="211"/>
      <c r="E152" s="211"/>
      <c r="F152" s="211"/>
      <c r="G152" s="211"/>
      <c r="H152" s="211"/>
      <c r="I152" s="211"/>
      <c r="J152" s="211"/>
      <c r="K152" s="105"/>
      <c r="L152" s="105"/>
      <c r="M152" s="105"/>
      <c r="N152" s="105"/>
      <c r="O152" s="105"/>
      <c r="P152" s="135"/>
      <c r="Q152" s="105"/>
      <c r="R152" s="105"/>
      <c r="S152" s="105"/>
      <c r="T152" s="135"/>
      <c r="U152" s="354"/>
      <c r="V152" s="353"/>
      <c r="W152" s="130"/>
      <c r="X152" s="130"/>
      <c r="Y152" s="403"/>
      <c r="Z152" s="404"/>
    </row>
    <row r="153" spans="1:26" s="133" customFormat="1" ht="15.6" customHeight="1" x14ac:dyDescent="0.25">
      <c r="A153" s="209"/>
      <c r="B153" s="212"/>
      <c r="C153" s="213"/>
      <c r="D153" s="213"/>
      <c r="E153" s="213"/>
      <c r="F153" s="213"/>
      <c r="G153" s="213"/>
      <c r="H153" s="213"/>
      <c r="I153" s="213"/>
      <c r="J153" s="213"/>
      <c r="K153" s="105"/>
      <c r="L153" s="213"/>
      <c r="M153" s="105"/>
      <c r="N153" s="105"/>
      <c r="O153" s="105"/>
      <c r="P153" s="135"/>
      <c r="Q153" s="105"/>
      <c r="R153" s="105"/>
      <c r="S153" s="105"/>
      <c r="T153" s="135"/>
      <c r="U153" s="354"/>
      <c r="V153" s="353"/>
      <c r="W153" s="130"/>
      <c r="X153" s="130"/>
      <c r="Y153" s="403"/>
      <c r="Z153" s="404"/>
    </row>
    <row r="154" spans="1:26" s="133" customFormat="1" ht="15.6" customHeight="1" x14ac:dyDescent="0.25">
      <c r="A154" s="225"/>
      <c r="B154" s="210"/>
      <c r="C154" s="211"/>
      <c r="D154" s="127"/>
      <c r="E154" s="127"/>
      <c r="F154" s="127"/>
      <c r="G154" s="127"/>
      <c r="H154" s="127"/>
      <c r="I154" s="127"/>
      <c r="J154" s="127"/>
      <c r="K154" s="105"/>
      <c r="L154" s="105"/>
      <c r="M154" s="105"/>
      <c r="N154" s="105"/>
      <c r="O154" s="105"/>
      <c r="P154" s="135"/>
      <c r="Q154" s="105"/>
      <c r="R154" s="105"/>
      <c r="S154" s="105"/>
      <c r="T154" s="135"/>
      <c r="U154" s="354"/>
      <c r="V154" s="353"/>
      <c r="W154" s="130"/>
      <c r="X154" s="130"/>
      <c r="Y154" s="403"/>
      <c r="Z154" s="404"/>
    </row>
    <row r="155" spans="1:26" s="133" customFormat="1" ht="15.6" customHeight="1" x14ac:dyDescent="0.25">
      <c r="B155" s="161"/>
      <c r="C155" s="105"/>
      <c r="D155" s="127"/>
      <c r="E155" s="127"/>
      <c r="F155" s="127"/>
      <c r="G155" s="127"/>
      <c r="H155" s="127"/>
      <c r="I155" s="127"/>
      <c r="J155" s="127"/>
      <c r="K155" s="105"/>
      <c r="L155" s="105"/>
      <c r="M155" s="105"/>
      <c r="N155" s="105"/>
      <c r="O155" s="105"/>
      <c r="P155" s="135"/>
      <c r="Q155" s="105"/>
      <c r="R155" s="105"/>
      <c r="S155" s="105"/>
      <c r="T155" s="135"/>
      <c r="U155" s="354"/>
      <c r="V155" s="353"/>
      <c r="W155" s="130"/>
      <c r="X155" s="130"/>
      <c r="Y155" s="403"/>
      <c r="Z155" s="404"/>
    </row>
    <row r="156" spans="1:26" s="133" customFormat="1" ht="15.6" customHeight="1" x14ac:dyDescent="0.25">
      <c r="A156" s="209"/>
      <c r="B156" s="161"/>
      <c r="C156" s="105"/>
      <c r="D156" s="105"/>
      <c r="E156" s="105"/>
      <c r="F156" s="105"/>
      <c r="G156" s="105"/>
      <c r="H156" s="105"/>
      <c r="I156" s="105"/>
      <c r="J156" s="105"/>
      <c r="K156" s="105"/>
      <c r="L156" s="105"/>
      <c r="M156" s="105"/>
      <c r="N156" s="105"/>
      <c r="O156" s="105"/>
      <c r="P156" s="135"/>
      <c r="Q156" s="105"/>
      <c r="R156" s="105"/>
      <c r="S156" s="105"/>
      <c r="T156" s="135"/>
      <c r="U156" s="354"/>
      <c r="V156" s="353"/>
      <c r="W156" s="130"/>
      <c r="X156" s="130"/>
      <c r="Y156" s="403"/>
      <c r="Z156" s="404"/>
    </row>
    <row r="157" spans="1:26" s="133" customFormat="1" ht="15.6" customHeight="1" x14ac:dyDescent="0.25">
      <c r="A157" s="209"/>
      <c r="B157" s="161"/>
      <c r="C157" s="214" t="s">
        <v>146</v>
      </c>
      <c r="D157" s="214"/>
      <c r="E157" s="214"/>
      <c r="F157" s="214"/>
      <c r="G157" s="214" t="s">
        <v>461</v>
      </c>
      <c r="H157" s="214"/>
      <c r="I157" s="214"/>
      <c r="J157" s="214"/>
      <c r="K157" s="105"/>
      <c r="L157" s="214"/>
      <c r="M157" s="214"/>
      <c r="N157" s="214"/>
      <c r="O157" s="214"/>
      <c r="P157" s="135"/>
      <c r="Q157" s="214"/>
      <c r="R157" s="105"/>
      <c r="S157" s="214"/>
      <c r="T157" s="215"/>
      <c r="U157" s="354"/>
      <c r="V157" s="353"/>
      <c r="W157" s="130"/>
      <c r="X157" s="130"/>
      <c r="Y157" s="403"/>
      <c r="Z157" s="404"/>
    </row>
    <row r="158" spans="1:26" s="133" customFormat="1" ht="15.6" customHeight="1" x14ac:dyDescent="0.25">
      <c r="A158" s="209"/>
      <c r="B158" s="210"/>
      <c r="C158" s="214"/>
      <c r="D158" s="214"/>
      <c r="E158" s="214"/>
      <c r="F158" s="214"/>
      <c r="G158" s="214"/>
      <c r="H158" s="214"/>
      <c r="I158" s="214"/>
      <c r="J158" s="214"/>
      <c r="K158" s="105"/>
      <c r="L158" s="214"/>
      <c r="M158" s="214"/>
      <c r="N158" s="214"/>
      <c r="O158" s="214"/>
      <c r="P158" s="135"/>
      <c r="Q158" s="214"/>
      <c r="R158" s="105"/>
      <c r="S158" s="214"/>
      <c r="T158" s="215"/>
      <c r="U158" s="354"/>
      <c r="V158" s="353"/>
      <c r="W158" s="130"/>
      <c r="X158" s="130"/>
      <c r="Y158" s="403"/>
      <c r="Z158" s="404"/>
    </row>
    <row r="159" spans="1:26" s="133" customFormat="1" ht="15.6" customHeight="1" x14ac:dyDescent="0.25">
      <c r="A159" s="209"/>
      <c r="B159" s="210"/>
      <c r="C159" s="216" t="s">
        <v>147</v>
      </c>
      <c r="D159" s="216"/>
      <c r="E159" s="216"/>
      <c r="F159" s="216"/>
      <c r="G159" s="216" t="s">
        <v>462</v>
      </c>
      <c r="H159" s="216"/>
      <c r="I159" s="216"/>
      <c r="J159" s="216"/>
      <c r="K159" s="105"/>
      <c r="L159" s="214"/>
      <c r="M159" s="214"/>
      <c r="N159" s="214"/>
      <c r="O159" s="214"/>
      <c r="P159" s="135"/>
      <c r="Q159" s="214"/>
      <c r="R159" s="105"/>
      <c r="S159" s="214"/>
      <c r="T159" s="215"/>
      <c r="U159" s="354"/>
      <c r="V159" s="353"/>
      <c r="W159" s="130"/>
      <c r="X159" s="130"/>
      <c r="Y159" s="403"/>
      <c r="Z159" s="404"/>
    </row>
    <row r="160" spans="1:26" s="133" customFormat="1" ht="15.6" customHeight="1" x14ac:dyDescent="0.25">
      <c r="A160" s="209"/>
      <c r="B160" s="210"/>
      <c r="C160" s="216"/>
      <c r="D160" s="216"/>
      <c r="E160" s="216"/>
      <c r="F160" s="216"/>
      <c r="G160" s="216"/>
      <c r="H160" s="216"/>
      <c r="I160" s="216"/>
      <c r="J160" s="216"/>
      <c r="K160" s="105"/>
      <c r="L160" s="214"/>
      <c r="M160" s="214"/>
      <c r="N160" s="214"/>
      <c r="O160" s="214"/>
      <c r="P160" s="135"/>
      <c r="Q160" s="214"/>
      <c r="R160" s="105"/>
      <c r="S160" s="214"/>
      <c r="T160" s="215"/>
      <c r="U160" s="354"/>
      <c r="V160" s="353"/>
      <c r="W160" s="130"/>
      <c r="X160" s="130"/>
      <c r="Y160" s="403"/>
      <c r="Z160" s="404"/>
    </row>
    <row r="161" spans="1:26" s="133" customFormat="1" ht="15.6" customHeight="1" x14ac:dyDescent="0.25">
      <c r="A161" s="209"/>
      <c r="B161" s="210"/>
      <c r="C161" s="216" t="s">
        <v>148</v>
      </c>
      <c r="D161" s="216"/>
      <c r="E161" s="216"/>
      <c r="F161" s="216"/>
      <c r="G161" s="216" t="s">
        <v>463</v>
      </c>
      <c r="H161" s="216"/>
      <c r="I161" s="216"/>
      <c r="J161" s="216"/>
      <c r="K161" s="105"/>
      <c r="L161" s="214"/>
      <c r="M161" s="214"/>
      <c r="N161" s="214"/>
      <c r="O161" s="214"/>
      <c r="P161" s="135"/>
      <c r="Q161" s="214"/>
      <c r="R161" s="105"/>
      <c r="S161" s="214"/>
      <c r="T161" s="215"/>
      <c r="U161" s="354"/>
      <c r="V161" s="353"/>
      <c r="W161" s="130"/>
      <c r="X161" s="130"/>
      <c r="Y161" s="403"/>
      <c r="Z161" s="404"/>
    </row>
    <row r="162" spans="1:26" s="133" customFormat="1" ht="15.6" customHeight="1" x14ac:dyDescent="0.25">
      <c r="A162" s="209"/>
      <c r="B162" s="210"/>
      <c r="C162" s="216"/>
      <c r="D162" s="216"/>
      <c r="E162" s="216"/>
      <c r="F162" s="216"/>
      <c r="G162" s="216"/>
      <c r="H162" s="216"/>
      <c r="I162" s="216"/>
      <c r="J162" s="216"/>
      <c r="K162" s="105"/>
      <c r="L162" s="214"/>
      <c r="M162" s="214"/>
      <c r="N162" s="214"/>
      <c r="O162" s="214"/>
      <c r="P162" s="135"/>
      <c r="Q162" s="214"/>
      <c r="R162" s="105"/>
      <c r="S162" s="214"/>
      <c r="T162" s="215"/>
      <c r="U162" s="354"/>
      <c r="V162" s="353"/>
      <c r="W162" s="130"/>
      <c r="X162" s="130"/>
      <c r="Y162" s="403"/>
      <c r="Z162" s="404"/>
    </row>
    <row r="163" spans="1:26" s="133" customFormat="1" ht="15.6" customHeight="1" x14ac:dyDescent="0.25">
      <c r="A163" s="209"/>
      <c r="B163" s="210"/>
      <c r="C163" s="211"/>
      <c r="D163" s="211"/>
      <c r="E163" s="211"/>
      <c r="F163" s="211"/>
      <c r="G163" s="211"/>
      <c r="H163" s="211"/>
      <c r="I163" s="211"/>
      <c r="J163" s="211"/>
      <c r="K163" s="105"/>
      <c r="L163" s="105"/>
      <c r="M163" s="105"/>
      <c r="N163" s="105"/>
      <c r="O163" s="105"/>
      <c r="P163" s="135"/>
      <c r="Q163" s="105"/>
      <c r="R163" s="105"/>
      <c r="S163" s="105"/>
      <c r="T163" s="135"/>
      <c r="U163" s="354"/>
      <c r="V163" s="353"/>
      <c r="W163" s="130"/>
      <c r="X163" s="130"/>
      <c r="Y163" s="403"/>
      <c r="Z163" s="404"/>
    </row>
    <row r="164" spans="1:26" s="133" customFormat="1" ht="15.6" customHeight="1" x14ac:dyDescent="0.25">
      <c r="A164" s="209"/>
      <c r="B164" s="210"/>
      <c r="C164" s="211"/>
      <c r="D164" s="211"/>
      <c r="E164" s="211"/>
      <c r="F164" s="211"/>
      <c r="G164" s="211"/>
      <c r="H164" s="211"/>
      <c r="I164" s="211"/>
      <c r="J164" s="211"/>
      <c r="K164" s="105"/>
      <c r="L164" s="105"/>
      <c r="M164" s="105"/>
      <c r="N164" s="105"/>
      <c r="O164" s="105"/>
      <c r="P164" s="135"/>
      <c r="Q164" s="105"/>
      <c r="R164" s="105"/>
      <c r="S164" s="105"/>
      <c r="T164" s="135"/>
      <c r="U164" s="354"/>
      <c r="V164" s="353"/>
      <c r="W164" s="130"/>
      <c r="X164" s="130"/>
      <c r="Y164" s="403"/>
      <c r="Z164" s="404"/>
    </row>
    <row r="165" spans="1:26" s="133" customFormat="1" ht="15.6" customHeight="1" x14ac:dyDescent="0.25">
      <c r="A165" s="209"/>
      <c r="B165" s="210"/>
      <c r="C165" s="211"/>
      <c r="D165" s="211"/>
      <c r="E165" s="211"/>
      <c r="F165" s="211"/>
      <c r="G165" s="211"/>
      <c r="H165" s="211"/>
      <c r="I165" s="211"/>
      <c r="J165" s="211"/>
      <c r="K165" s="105"/>
      <c r="L165" s="105"/>
      <c r="M165" s="105"/>
      <c r="N165" s="105"/>
      <c r="O165" s="105"/>
      <c r="P165" s="135"/>
      <c r="Q165" s="105"/>
      <c r="R165" s="105"/>
      <c r="S165" s="105"/>
      <c r="T165" s="135"/>
      <c r="U165" s="354"/>
      <c r="V165" s="353"/>
      <c r="W165" s="130"/>
      <c r="X165" s="130"/>
      <c r="Y165" s="403"/>
      <c r="Z165" s="404"/>
    </row>
    <row r="166" spans="1:26" s="133" customFormat="1" ht="15.6" customHeight="1" x14ac:dyDescent="0.25">
      <c r="A166" s="209"/>
      <c r="B166" s="210"/>
      <c r="C166" s="211"/>
      <c r="D166" s="211"/>
      <c r="E166" s="211"/>
      <c r="F166" s="211"/>
      <c r="G166" s="211"/>
      <c r="H166" s="211"/>
      <c r="I166" s="211"/>
      <c r="J166" s="211"/>
      <c r="K166" s="105"/>
      <c r="L166" s="105"/>
      <c r="M166" s="105"/>
      <c r="N166" s="105"/>
      <c r="O166" s="105"/>
      <c r="P166" s="135"/>
      <c r="Q166" s="105"/>
      <c r="R166" s="105"/>
      <c r="S166" s="105"/>
      <c r="T166" s="135"/>
      <c r="U166" s="353"/>
      <c r="V166" s="353"/>
      <c r="W166" s="130"/>
      <c r="X166" s="130"/>
      <c r="Y166" s="403"/>
      <c r="Z166" s="404"/>
    </row>
    <row r="167" spans="1:26" s="133" customFormat="1" ht="15.6" customHeight="1" x14ac:dyDescent="0.25">
      <c r="A167" s="209"/>
      <c r="B167" s="210"/>
      <c r="C167" s="211"/>
      <c r="D167" s="211"/>
      <c r="E167" s="211"/>
      <c r="F167" s="211"/>
      <c r="G167" s="211"/>
      <c r="H167" s="211"/>
      <c r="I167" s="211"/>
      <c r="J167" s="211"/>
      <c r="K167" s="105"/>
      <c r="L167" s="105"/>
      <c r="M167" s="105"/>
      <c r="N167" s="105"/>
      <c r="O167" s="105"/>
      <c r="P167" s="135"/>
      <c r="Q167" s="105"/>
      <c r="R167" s="105"/>
      <c r="S167" s="105"/>
      <c r="T167" s="135"/>
      <c r="U167" s="353"/>
      <c r="V167" s="353"/>
      <c r="W167" s="130"/>
      <c r="X167" s="130"/>
      <c r="Y167" s="403"/>
      <c r="Z167" s="404"/>
    </row>
    <row r="168" spans="1:26" s="133" customFormat="1" ht="15.6" customHeight="1" x14ac:dyDescent="0.25">
      <c r="A168" s="209"/>
      <c r="B168" s="210"/>
      <c r="C168" s="211"/>
      <c r="D168" s="211"/>
      <c r="E168" s="211"/>
      <c r="F168" s="211"/>
      <c r="G168" s="211"/>
      <c r="H168" s="211"/>
      <c r="I168" s="211"/>
      <c r="J168" s="211"/>
      <c r="K168" s="105"/>
      <c r="L168" s="105"/>
      <c r="M168" s="105"/>
      <c r="N168" s="105"/>
      <c r="O168" s="105"/>
      <c r="P168" s="135"/>
      <c r="Q168" s="105"/>
      <c r="R168" s="105"/>
      <c r="S168" s="105"/>
      <c r="T168" s="135"/>
      <c r="U168" s="353"/>
      <c r="V168" s="353"/>
      <c r="W168" s="130"/>
      <c r="X168" s="130"/>
      <c r="Y168" s="403"/>
      <c r="Z168" s="404"/>
    </row>
    <row r="169" spans="1:26" s="133" customFormat="1" ht="15.6" customHeight="1" x14ac:dyDescent="0.25">
      <c r="A169" s="209"/>
      <c r="B169" s="210"/>
      <c r="C169" s="211"/>
      <c r="D169" s="211"/>
      <c r="E169" s="211"/>
      <c r="F169" s="211"/>
      <c r="G169" s="211"/>
      <c r="H169" s="211"/>
      <c r="I169" s="211"/>
      <c r="J169" s="211"/>
      <c r="K169" s="105"/>
      <c r="L169" s="105"/>
      <c r="M169" s="105"/>
      <c r="N169" s="105"/>
      <c r="O169" s="105"/>
      <c r="P169" s="135"/>
      <c r="Q169" s="105"/>
      <c r="R169" s="105"/>
      <c r="S169" s="105"/>
      <c r="T169" s="135"/>
      <c r="U169" s="353"/>
      <c r="V169" s="353"/>
      <c r="W169" s="130"/>
      <c r="X169" s="130"/>
      <c r="Y169" s="403"/>
      <c r="Z169" s="404"/>
    </row>
    <row r="170" spans="1:26" s="133" customFormat="1" ht="15.6" customHeight="1" x14ac:dyDescent="0.25">
      <c r="A170" s="209"/>
      <c r="B170" s="210"/>
      <c r="C170" s="211"/>
      <c r="D170" s="211"/>
      <c r="E170" s="211"/>
      <c r="F170" s="211"/>
      <c r="G170" s="211"/>
      <c r="H170" s="211"/>
      <c r="I170" s="211"/>
      <c r="J170" s="211"/>
      <c r="K170" s="217"/>
      <c r="L170" s="105"/>
      <c r="M170" s="105"/>
      <c r="N170" s="105"/>
      <c r="O170" s="105"/>
      <c r="P170" s="135"/>
      <c r="Q170" s="105"/>
      <c r="R170" s="136"/>
      <c r="S170" s="105"/>
      <c r="T170" s="135"/>
      <c r="U170" s="354"/>
      <c r="V170" s="353"/>
      <c r="W170" s="130"/>
      <c r="X170" s="130"/>
      <c r="Y170" s="403"/>
      <c r="Z170" s="404"/>
    </row>
    <row r="171" spans="1:26" s="133" customFormat="1" ht="15.6" customHeight="1" x14ac:dyDescent="0.25">
      <c r="A171" s="209"/>
      <c r="B171" s="210"/>
      <c r="C171" s="211"/>
      <c r="D171" s="211"/>
      <c r="E171" s="211"/>
      <c r="F171" s="211"/>
      <c r="G171" s="211"/>
      <c r="H171" s="211"/>
      <c r="I171" s="211"/>
      <c r="J171" s="211"/>
      <c r="K171" s="217"/>
      <c r="L171" s="105"/>
      <c r="M171" s="105"/>
      <c r="N171" s="105"/>
      <c r="O171" s="105"/>
      <c r="P171" s="135"/>
      <c r="Q171" s="105"/>
      <c r="R171" s="136"/>
      <c r="S171" s="105"/>
      <c r="T171" s="135"/>
      <c r="U171" s="354"/>
      <c r="V171" s="353"/>
      <c r="W171" s="130"/>
      <c r="X171" s="130"/>
      <c r="Y171" s="403"/>
      <c r="Z171" s="404"/>
    </row>
    <row r="172" spans="1:26" s="133" customFormat="1" ht="15.6" customHeight="1" x14ac:dyDescent="0.25">
      <c r="A172" s="209"/>
      <c r="B172" s="218"/>
      <c r="C172" s="211"/>
      <c r="D172" s="211"/>
      <c r="E172" s="211"/>
      <c r="F172" s="211"/>
      <c r="G172" s="211"/>
      <c r="H172" s="211"/>
      <c r="I172" s="211"/>
      <c r="J172" s="211"/>
      <c r="K172" s="217"/>
      <c r="L172" s="105"/>
      <c r="M172" s="105"/>
      <c r="N172" s="105"/>
      <c r="O172" s="105"/>
      <c r="P172" s="135"/>
      <c r="Q172" s="105"/>
      <c r="R172" s="136"/>
      <c r="S172" s="105"/>
      <c r="T172" s="135"/>
      <c r="U172" s="354"/>
      <c r="V172" s="353"/>
      <c r="W172" s="130"/>
      <c r="X172" s="130"/>
      <c r="Y172" s="404"/>
      <c r="Z172" s="404"/>
    </row>
    <row r="173" spans="1:26" s="133" customFormat="1" ht="15.6" customHeight="1" x14ac:dyDescent="0.25">
      <c r="A173" s="209"/>
      <c r="B173" s="218"/>
      <c r="C173" s="211"/>
      <c r="D173" s="211"/>
      <c r="E173" s="211"/>
      <c r="F173" s="211"/>
      <c r="G173" s="211"/>
      <c r="H173" s="211"/>
      <c r="I173" s="211"/>
      <c r="J173" s="211"/>
      <c r="K173" s="217"/>
      <c r="L173" s="105"/>
      <c r="M173" s="105"/>
      <c r="N173" s="105"/>
      <c r="O173" s="105"/>
      <c r="P173" s="135"/>
      <c r="Q173" s="105"/>
      <c r="R173" s="136"/>
      <c r="S173" s="105"/>
      <c r="T173" s="135"/>
      <c r="U173" s="354"/>
      <c r="V173" s="353"/>
      <c r="W173" s="130"/>
      <c r="X173" s="130"/>
      <c r="Y173" s="404"/>
      <c r="Z173" s="404"/>
    </row>
    <row r="174" spans="1:26" s="133" customFormat="1" ht="15.6" customHeight="1" x14ac:dyDescent="0.25">
      <c r="A174" s="209"/>
      <c r="B174" s="218"/>
      <c r="C174" s="211"/>
      <c r="D174" s="211"/>
      <c r="E174" s="211"/>
      <c r="F174" s="211"/>
      <c r="G174" s="211"/>
      <c r="H174" s="211"/>
      <c r="I174" s="211"/>
      <c r="J174" s="211"/>
      <c r="K174" s="217"/>
      <c r="L174" s="105"/>
      <c r="M174" s="105"/>
      <c r="N174" s="105"/>
      <c r="O174" s="105"/>
      <c r="P174" s="135"/>
      <c r="Q174" s="105"/>
      <c r="R174" s="136"/>
      <c r="S174" s="105"/>
      <c r="T174" s="135"/>
      <c r="U174" s="354"/>
      <c r="V174" s="353"/>
      <c r="W174" s="130"/>
      <c r="X174" s="130"/>
      <c r="Y174" s="404"/>
      <c r="Z174" s="404"/>
    </row>
    <row r="175" spans="1:26" s="133" customFormat="1" ht="15.6" customHeight="1" x14ac:dyDescent="0.25">
      <c r="A175" s="209"/>
      <c r="B175" s="218"/>
      <c r="C175" s="211"/>
      <c r="D175" s="211"/>
      <c r="E175" s="211"/>
      <c r="F175" s="211"/>
      <c r="G175" s="211"/>
      <c r="H175" s="211"/>
      <c r="I175" s="211"/>
      <c r="J175" s="211"/>
      <c r="K175" s="217"/>
      <c r="L175" s="105"/>
      <c r="M175" s="105"/>
      <c r="N175" s="105"/>
      <c r="O175" s="105"/>
      <c r="P175" s="135"/>
      <c r="Q175" s="105"/>
      <c r="R175" s="136"/>
      <c r="S175" s="105"/>
      <c r="T175" s="135"/>
      <c r="U175" s="353"/>
      <c r="V175" s="353"/>
      <c r="W175" s="130"/>
      <c r="Y175" s="404"/>
      <c r="Z175" s="404"/>
    </row>
    <row r="176" spans="1:26" s="133" customFormat="1" ht="15.6" customHeight="1" x14ac:dyDescent="0.25">
      <c r="A176" s="209"/>
      <c r="B176" s="210"/>
      <c r="C176" s="211"/>
      <c r="D176" s="211"/>
      <c r="E176" s="211"/>
      <c r="F176" s="211"/>
      <c r="G176" s="211"/>
      <c r="H176" s="211"/>
      <c r="I176" s="211"/>
      <c r="J176" s="211"/>
      <c r="K176" s="217"/>
      <c r="L176" s="105"/>
      <c r="M176" s="105"/>
      <c r="N176" s="105"/>
      <c r="O176" s="105"/>
      <c r="P176" s="135"/>
      <c r="Q176" s="105"/>
      <c r="R176" s="136"/>
      <c r="S176" s="105"/>
      <c r="T176" s="135"/>
      <c r="U176" s="353"/>
      <c r="V176" s="353"/>
      <c r="W176" s="130"/>
      <c r="X176" s="130"/>
      <c r="Y176" s="404"/>
      <c r="Z176" s="404"/>
    </row>
    <row r="177" spans="1:26" s="133" customFormat="1" ht="15.6" customHeight="1" x14ac:dyDescent="0.25">
      <c r="A177" s="209"/>
      <c r="B177" s="210"/>
      <c r="C177" s="211"/>
      <c r="D177" s="211"/>
      <c r="E177" s="211"/>
      <c r="F177" s="211"/>
      <c r="G177" s="211"/>
      <c r="H177" s="211"/>
      <c r="I177" s="211"/>
      <c r="J177" s="211"/>
      <c r="K177" s="217"/>
      <c r="L177" s="105"/>
      <c r="M177" s="105"/>
      <c r="N177" s="105"/>
      <c r="O177" s="105"/>
      <c r="P177" s="135"/>
      <c r="Q177" s="105"/>
      <c r="R177" s="136"/>
      <c r="S177" s="105"/>
      <c r="T177" s="135"/>
      <c r="U177" s="353"/>
      <c r="V177" s="353"/>
      <c r="W177" s="130"/>
      <c r="X177" s="130"/>
      <c r="Y177" s="404"/>
      <c r="Z177" s="404"/>
    </row>
    <row r="178" spans="1:26" s="133" customFormat="1" ht="15.6" customHeight="1" x14ac:dyDescent="0.25">
      <c r="A178" s="209"/>
      <c r="B178" s="210"/>
      <c r="C178" s="211"/>
      <c r="D178" s="211"/>
      <c r="E178" s="211"/>
      <c r="F178" s="211"/>
      <c r="G178" s="211"/>
      <c r="H178" s="211"/>
      <c r="I178" s="211"/>
      <c r="J178" s="211"/>
      <c r="K178" s="217"/>
      <c r="L178" s="105"/>
      <c r="M178" s="105"/>
      <c r="N178" s="105"/>
      <c r="O178" s="105"/>
      <c r="P178" s="135"/>
      <c r="Q178" s="105"/>
      <c r="R178" s="136"/>
      <c r="S178" s="105"/>
      <c r="T178" s="135"/>
      <c r="U178" s="353"/>
      <c r="V178" s="353"/>
      <c r="W178" s="130"/>
      <c r="X178" s="130"/>
      <c r="Y178" s="404"/>
      <c r="Z178" s="404"/>
    </row>
    <row r="179" spans="1:26" s="133" customFormat="1" ht="15.6" customHeight="1" x14ac:dyDescent="0.25">
      <c r="A179" s="209"/>
      <c r="B179" s="210"/>
      <c r="C179" s="211"/>
      <c r="D179" s="211"/>
      <c r="E179" s="211"/>
      <c r="F179" s="211"/>
      <c r="G179" s="211"/>
      <c r="H179" s="211"/>
      <c r="I179" s="211"/>
      <c r="J179" s="211"/>
      <c r="K179" s="217"/>
      <c r="L179" s="105"/>
      <c r="M179" s="105"/>
      <c r="N179" s="105"/>
      <c r="O179" s="105"/>
      <c r="P179" s="135"/>
      <c r="Q179" s="105"/>
      <c r="R179" s="136"/>
      <c r="S179" s="105"/>
      <c r="T179" s="135"/>
      <c r="U179" s="353"/>
      <c r="V179" s="353"/>
      <c r="W179" s="130"/>
      <c r="X179" s="130"/>
      <c r="Y179" s="404"/>
      <c r="Z179" s="404"/>
    </row>
    <row r="180" spans="1:26" s="133" customFormat="1" ht="15.6" customHeight="1" x14ac:dyDescent="0.25">
      <c r="A180" s="209"/>
      <c r="B180" s="210"/>
      <c r="C180" s="211"/>
      <c r="D180" s="211"/>
      <c r="E180" s="211"/>
      <c r="F180" s="211"/>
      <c r="G180" s="211"/>
      <c r="H180" s="211"/>
      <c r="I180" s="211"/>
      <c r="J180" s="211"/>
      <c r="K180" s="217"/>
      <c r="L180" s="105"/>
      <c r="M180" s="105"/>
      <c r="N180" s="105"/>
      <c r="O180" s="105"/>
      <c r="P180" s="135"/>
      <c r="Q180" s="105"/>
      <c r="R180" s="136"/>
      <c r="S180" s="105"/>
      <c r="T180" s="135"/>
      <c r="U180" s="353"/>
      <c r="V180" s="353"/>
      <c r="W180" s="130"/>
      <c r="X180" s="130"/>
      <c r="Y180" s="404"/>
      <c r="Z180" s="404"/>
    </row>
    <row r="181" spans="1:26" s="133" customFormat="1" ht="15.6" customHeight="1" x14ac:dyDescent="0.25">
      <c r="A181" s="209"/>
      <c r="B181" s="161"/>
      <c r="C181" s="105"/>
      <c r="D181" s="105"/>
      <c r="E181" s="105"/>
      <c r="F181" s="105"/>
      <c r="G181" s="105"/>
      <c r="H181" s="105"/>
      <c r="I181" s="105"/>
      <c r="J181" s="105"/>
      <c r="K181" s="136"/>
      <c r="L181" s="105"/>
      <c r="M181" s="105"/>
      <c r="N181" s="105"/>
      <c r="O181" s="105"/>
      <c r="P181" s="135"/>
      <c r="Q181" s="105"/>
      <c r="R181" s="136"/>
      <c r="S181" s="105"/>
      <c r="T181" s="135"/>
      <c r="U181" s="353"/>
      <c r="V181" s="353"/>
      <c r="W181" s="130"/>
      <c r="X181" s="130"/>
      <c r="Y181" s="404"/>
      <c r="Z181" s="404"/>
    </row>
    <row r="182" spans="1:26" s="133" customFormat="1" ht="15.6" customHeight="1" x14ac:dyDescent="0.25">
      <c r="A182" s="209"/>
      <c r="B182" s="161"/>
      <c r="C182" s="105"/>
      <c r="D182" s="105"/>
      <c r="E182" s="105"/>
      <c r="F182" s="105"/>
      <c r="G182" s="105"/>
      <c r="H182" s="105"/>
      <c r="I182" s="105"/>
      <c r="J182" s="105"/>
      <c r="K182" s="136"/>
      <c r="L182" s="105"/>
      <c r="M182" s="105"/>
      <c r="N182" s="105"/>
      <c r="O182" s="105"/>
      <c r="P182" s="135"/>
      <c r="Q182" s="105"/>
      <c r="R182" s="136"/>
      <c r="S182" s="105"/>
      <c r="T182" s="135"/>
      <c r="U182" s="353"/>
      <c r="V182" s="353"/>
      <c r="W182" s="130"/>
      <c r="X182" s="130"/>
      <c r="Y182" s="404"/>
      <c r="Z182" s="404"/>
    </row>
    <row r="183" spans="1:26" s="133" customFormat="1" ht="15.6" customHeight="1" x14ac:dyDescent="0.25">
      <c r="A183" s="209"/>
      <c r="B183" s="161"/>
      <c r="C183" s="105"/>
      <c r="D183" s="105"/>
      <c r="E183" s="105"/>
      <c r="F183" s="105"/>
      <c r="G183" s="105"/>
      <c r="H183" s="105"/>
      <c r="I183" s="105"/>
      <c r="J183" s="105"/>
      <c r="K183" s="136"/>
      <c r="L183" s="105"/>
      <c r="M183" s="105"/>
      <c r="N183" s="105"/>
      <c r="O183" s="105"/>
      <c r="P183" s="135"/>
      <c r="Q183" s="105"/>
      <c r="R183" s="136"/>
      <c r="S183" s="105"/>
      <c r="T183" s="135"/>
      <c r="U183" s="354"/>
      <c r="V183" s="353"/>
      <c r="W183" s="130"/>
      <c r="X183" s="130"/>
      <c r="Y183" s="403"/>
      <c r="Z183" s="404"/>
    </row>
    <row r="184" spans="1:26" s="133" customFormat="1" ht="15.6" customHeight="1" x14ac:dyDescent="0.25">
      <c r="A184" s="209"/>
      <c r="B184" s="161"/>
      <c r="C184" s="105"/>
      <c r="D184" s="105"/>
      <c r="E184" s="105"/>
      <c r="F184" s="105"/>
      <c r="G184" s="105"/>
      <c r="H184" s="105"/>
      <c r="I184" s="105"/>
      <c r="J184" s="105"/>
      <c r="K184" s="136"/>
      <c r="L184" s="105"/>
      <c r="M184" s="105"/>
      <c r="N184" s="105"/>
      <c r="O184" s="105"/>
      <c r="P184" s="135"/>
      <c r="Q184" s="105"/>
      <c r="R184" s="136"/>
      <c r="S184" s="105"/>
      <c r="T184" s="135"/>
      <c r="U184" s="354"/>
      <c r="V184" s="353"/>
      <c r="W184" s="130"/>
      <c r="X184" s="130"/>
      <c r="Y184" s="403"/>
      <c r="Z184" s="404"/>
    </row>
    <row r="185" spans="1:26" s="133" customFormat="1" ht="15.6" customHeight="1" x14ac:dyDescent="0.25">
      <c r="A185" s="209"/>
      <c r="B185" s="161"/>
      <c r="C185" s="105"/>
      <c r="D185" s="105"/>
      <c r="E185" s="105"/>
      <c r="F185" s="105"/>
      <c r="G185" s="105"/>
      <c r="H185" s="105"/>
      <c r="I185" s="105"/>
      <c r="J185" s="105"/>
      <c r="K185" s="136"/>
      <c r="L185" s="105"/>
      <c r="M185" s="105"/>
      <c r="N185" s="105"/>
      <c r="O185" s="105"/>
      <c r="P185" s="135"/>
      <c r="Q185" s="105"/>
      <c r="R185" s="136"/>
      <c r="S185" s="105"/>
      <c r="T185" s="135"/>
      <c r="U185" s="354"/>
      <c r="V185" s="353"/>
      <c r="W185" s="130"/>
      <c r="X185" s="130"/>
      <c r="Y185" s="403"/>
      <c r="Z185" s="404"/>
    </row>
    <row r="186" spans="1:26" s="133" customFormat="1" ht="15.6" customHeight="1" x14ac:dyDescent="0.25">
      <c r="A186" s="209"/>
      <c r="B186" s="161"/>
      <c r="C186" s="105"/>
      <c r="D186" s="105"/>
      <c r="E186" s="105"/>
      <c r="F186" s="105"/>
      <c r="G186" s="105"/>
      <c r="H186" s="105"/>
      <c r="I186" s="105"/>
      <c r="J186" s="105"/>
      <c r="K186" s="136"/>
      <c r="L186" s="105"/>
      <c r="M186" s="105"/>
      <c r="N186" s="105"/>
      <c r="O186" s="105"/>
      <c r="P186" s="135"/>
      <c r="Q186" s="105"/>
      <c r="R186" s="136"/>
      <c r="S186" s="105"/>
      <c r="T186" s="135"/>
      <c r="U186" s="354"/>
      <c r="V186" s="353"/>
      <c r="W186" s="130"/>
      <c r="X186" s="130"/>
      <c r="Y186" s="403"/>
      <c r="Z186" s="404"/>
    </row>
    <row r="187" spans="1:26" s="133" customFormat="1" ht="15.6" customHeight="1" x14ac:dyDescent="0.25">
      <c r="A187" s="209"/>
      <c r="B187" s="161"/>
      <c r="C187" s="105"/>
      <c r="D187" s="105"/>
      <c r="E187" s="105"/>
      <c r="F187" s="105"/>
      <c r="G187" s="105"/>
      <c r="H187" s="105"/>
      <c r="I187" s="105"/>
      <c r="J187" s="105"/>
      <c r="K187" s="136"/>
      <c r="L187" s="105"/>
      <c r="M187" s="105"/>
      <c r="N187" s="105"/>
      <c r="O187" s="105"/>
      <c r="P187" s="135"/>
      <c r="Q187" s="105"/>
      <c r="R187" s="136"/>
      <c r="S187" s="105"/>
      <c r="T187" s="135"/>
      <c r="U187" s="354"/>
      <c r="V187" s="353"/>
      <c r="W187" s="130"/>
      <c r="X187" s="130"/>
      <c r="Y187" s="403"/>
      <c r="Z187" s="404"/>
    </row>
    <row r="188" spans="1:26" s="133" customFormat="1" ht="15.6" customHeight="1" x14ac:dyDescent="0.25">
      <c r="A188" s="209"/>
      <c r="B188" s="161"/>
      <c r="C188" s="105"/>
      <c r="D188" s="105"/>
      <c r="E188" s="105"/>
      <c r="F188" s="105"/>
      <c r="G188" s="105"/>
      <c r="H188" s="105"/>
      <c r="I188" s="105"/>
      <c r="J188" s="105"/>
      <c r="K188" s="136"/>
      <c r="L188" s="105"/>
      <c r="M188" s="105"/>
      <c r="N188" s="105"/>
      <c r="O188" s="105"/>
      <c r="P188" s="135"/>
      <c r="Q188" s="105"/>
      <c r="R188" s="136"/>
      <c r="S188" s="105"/>
      <c r="T188" s="135"/>
      <c r="U188" s="354"/>
      <c r="V188" s="353"/>
      <c r="W188" s="130"/>
      <c r="X188" s="130"/>
      <c r="Y188" s="403"/>
      <c r="Z188" s="404"/>
    </row>
    <row r="189" spans="1:26" s="133" customFormat="1" ht="15.6" customHeight="1" x14ac:dyDescent="0.25">
      <c r="A189" s="209"/>
      <c r="B189" s="161"/>
      <c r="C189" s="105"/>
      <c r="D189" s="105"/>
      <c r="E189" s="105"/>
      <c r="F189" s="105"/>
      <c r="G189" s="105"/>
      <c r="H189" s="105"/>
      <c r="I189" s="105"/>
      <c r="J189" s="105"/>
      <c r="K189" s="136"/>
      <c r="L189" s="105"/>
      <c r="M189" s="105"/>
      <c r="N189" s="105"/>
      <c r="O189" s="105"/>
      <c r="P189" s="135"/>
      <c r="Q189" s="105"/>
      <c r="R189" s="136"/>
      <c r="S189" s="105"/>
      <c r="T189" s="135"/>
      <c r="U189" s="354"/>
      <c r="V189" s="353"/>
      <c r="W189" s="130"/>
      <c r="X189" s="130"/>
      <c r="Y189" s="403"/>
      <c r="Z189" s="404"/>
    </row>
    <row r="190" spans="1:26" s="133" customFormat="1" ht="15.6" customHeight="1" x14ac:dyDescent="0.25">
      <c r="A190" s="209"/>
      <c r="B190" s="161"/>
      <c r="C190" s="105"/>
      <c r="D190" s="105"/>
      <c r="E190" s="105"/>
      <c r="F190" s="105"/>
      <c r="G190" s="105"/>
      <c r="H190" s="105"/>
      <c r="I190" s="105"/>
      <c r="J190" s="105"/>
      <c r="K190" s="136"/>
      <c r="L190" s="105"/>
      <c r="M190" s="105"/>
      <c r="N190" s="105"/>
      <c r="O190" s="105"/>
      <c r="P190" s="135"/>
      <c r="Q190" s="105"/>
      <c r="R190" s="136"/>
      <c r="S190" s="105"/>
      <c r="T190" s="135"/>
      <c r="U190" s="354"/>
      <c r="V190" s="353"/>
      <c r="W190" s="130"/>
      <c r="X190" s="130"/>
      <c r="Y190" s="403"/>
      <c r="Z190" s="404"/>
    </row>
    <row r="191" spans="1:26" s="133" customFormat="1" ht="15.6" customHeight="1" x14ac:dyDescent="0.25">
      <c r="A191" s="209"/>
      <c r="B191" s="161"/>
      <c r="C191" s="105"/>
      <c r="D191" s="105"/>
      <c r="E191" s="105"/>
      <c r="F191" s="105"/>
      <c r="G191" s="105"/>
      <c r="H191" s="105"/>
      <c r="I191" s="105"/>
      <c r="J191" s="105"/>
      <c r="K191" s="136"/>
      <c r="L191" s="105"/>
      <c r="M191" s="105"/>
      <c r="N191" s="105"/>
      <c r="O191" s="105"/>
      <c r="P191" s="135"/>
      <c r="Q191" s="105"/>
      <c r="R191" s="136"/>
      <c r="S191" s="105"/>
      <c r="T191" s="135"/>
      <c r="U191" s="354"/>
      <c r="V191" s="353"/>
      <c r="W191" s="130"/>
      <c r="X191" s="130"/>
      <c r="Y191" s="403"/>
      <c r="Z191" s="404"/>
    </row>
    <row r="192" spans="1:26" s="133" customFormat="1" ht="15.6" customHeight="1" x14ac:dyDescent="0.25">
      <c r="A192" s="209"/>
      <c r="B192" s="161"/>
      <c r="C192" s="105"/>
      <c r="D192" s="105"/>
      <c r="E192" s="105"/>
      <c r="F192" s="105"/>
      <c r="G192" s="105"/>
      <c r="H192" s="105"/>
      <c r="I192" s="105"/>
      <c r="J192" s="105"/>
      <c r="K192" s="136"/>
      <c r="L192" s="105"/>
      <c r="M192" s="105"/>
      <c r="N192" s="105"/>
      <c r="O192" s="105"/>
      <c r="P192" s="135"/>
      <c r="Q192" s="105"/>
      <c r="R192" s="136"/>
      <c r="S192" s="105"/>
      <c r="T192" s="135"/>
      <c r="U192" s="354"/>
      <c r="V192" s="353"/>
      <c r="W192" s="130"/>
      <c r="X192" s="130"/>
      <c r="Y192" s="403"/>
      <c r="Z192" s="404"/>
    </row>
    <row r="193" spans="1:26" s="133" customFormat="1" ht="15.6" customHeight="1" x14ac:dyDescent="0.25">
      <c r="A193" s="209"/>
      <c r="B193" s="161"/>
      <c r="C193" s="105"/>
      <c r="D193" s="105"/>
      <c r="E193" s="105"/>
      <c r="F193" s="105"/>
      <c r="G193" s="105"/>
      <c r="H193" s="105"/>
      <c r="I193" s="105"/>
      <c r="J193" s="105"/>
      <c r="K193" s="136"/>
      <c r="L193" s="105"/>
      <c r="M193" s="105"/>
      <c r="N193" s="105"/>
      <c r="O193" s="105"/>
      <c r="P193" s="135"/>
      <c r="Q193" s="105"/>
      <c r="R193" s="136"/>
      <c r="S193" s="105"/>
      <c r="T193" s="135"/>
      <c r="U193" s="354"/>
      <c r="V193" s="353"/>
      <c r="W193" s="130"/>
      <c r="X193" s="130"/>
      <c r="Y193" s="403"/>
      <c r="Z193" s="404"/>
    </row>
    <row r="194" spans="1:26" s="133" customFormat="1" ht="15.6" customHeight="1" x14ac:dyDescent="0.25">
      <c r="A194" s="209"/>
      <c r="B194" s="161"/>
      <c r="C194" s="105"/>
      <c r="D194" s="105"/>
      <c r="E194" s="105"/>
      <c r="F194" s="105"/>
      <c r="G194" s="105"/>
      <c r="H194" s="105"/>
      <c r="I194" s="105"/>
      <c r="J194" s="105"/>
      <c r="K194" s="136"/>
      <c r="L194" s="105"/>
      <c r="M194" s="105"/>
      <c r="N194" s="105"/>
      <c r="O194" s="105"/>
      <c r="P194" s="135"/>
      <c r="Q194" s="105"/>
      <c r="R194" s="136"/>
      <c r="S194" s="105"/>
      <c r="T194" s="135"/>
      <c r="U194" s="354"/>
      <c r="V194" s="353"/>
      <c r="W194" s="130"/>
      <c r="X194" s="130"/>
      <c r="Y194" s="403"/>
      <c r="Z194" s="404"/>
    </row>
    <row r="195" spans="1:26" s="133" customFormat="1" ht="15.6" customHeight="1" x14ac:dyDescent="0.25">
      <c r="A195" s="209"/>
      <c r="B195" s="161"/>
      <c r="C195" s="105"/>
      <c r="D195" s="105"/>
      <c r="E195" s="105"/>
      <c r="F195" s="105"/>
      <c r="G195" s="105"/>
      <c r="H195" s="105"/>
      <c r="I195" s="105"/>
      <c r="J195" s="105"/>
      <c r="K195" s="136"/>
      <c r="L195" s="105"/>
      <c r="M195" s="105"/>
      <c r="N195" s="105"/>
      <c r="O195" s="105"/>
      <c r="P195" s="135"/>
      <c r="Q195" s="105"/>
      <c r="R195" s="136"/>
      <c r="S195" s="105"/>
      <c r="T195" s="135"/>
      <c r="U195" s="354"/>
      <c r="V195" s="353"/>
      <c r="W195" s="130"/>
      <c r="X195" s="130"/>
      <c r="Y195" s="403"/>
      <c r="Z195" s="404"/>
    </row>
    <row r="196" spans="1:26" s="133" customFormat="1" ht="15.6" customHeight="1" x14ac:dyDescent="0.25">
      <c r="A196" s="209"/>
      <c r="B196" s="161"/>
      <c r="C196" s="105"/>
      <c r="D196" s="105"/>
      <c r="E196" s="105"/>
      <c r="F196" s="105"/>
      <c r="G196" s="105"/>
      <c r="H196" s="105"/>
      <c r="I196" s="105"/>
      <c r="J196" s="105"/>
      <c r="K196" s="136"/>
      <c r="L196" s="105"/>
      <c r="M196" s="105"/>
      <c r="N196" s="105"/>
      <c r="O196" s="105"/>
      <c r="P196" s="135"/>
      <c r="Q196" s="105"/>
      <c r="R196" s="136"/>
      <c r="S196" s="105"/>
      <c r="T196" s="135"/>
      <c r="U196" s="354"/>
      <c r="V196" s="353"/>
      <c r="W196" s="130"/>
      <c r="X196" s="130"/>
      <c r="Y196" s="403"/>
      <c r="Z196" s="404"/>
    </row>
    <row r="197" spans="1:26" s="133" customFormat="1" ht="15.6" customHeight="1" x14ac:dyDescent="0.25">
      <c r="A197" s="209"/>
      <c r="B197" s="161"/>
      <c r="C197" s="105"/>
      <c r="D197" s="105"/>
      <c r="E197" s="105"/>
      <c r="F197" s="105"/>
      <c r="G197" s="105"/>
      <c r="H197" s="105"/>
      <c r="I197" s="105"/>
      <c r="J197" s="105"/>
      <c r="K197" s="136"/>
      <c r="L197" s="105"/>
      <c r="M197" s="105"/>
      <c r="N197" s="105"/>
      <c r="O197" s="105"/>
      <c r="P197" s="135"/>
      <c r="Q197" s="105"/>
      <c r="R197" s="136"/>
      <c r="S197" s="105"/>
      <c r="T197" s="135"/>
      <c r="U197" s="354"/>
      <c r="V197" s="353"/>
      <c r="W197" s="130"/>
      <c r="X197" s="130"/>
      <c r="Y197" s="403"/>
      <c r="Z197" s="404"/>
    </row>
    <row r="198" spans="1:26" s="133" customFormat="1" ht="15.6" customHeight="1" x14ac:dyDescent="0.25">
      <c r="A198" s="209"/>
      <c r="B198" s="161"/>
      <c r="C198" s="105"/>
      <c r="D198" s="105"/>
      <c r="E198" s="105"/>
      <c r="F198" s="105"/>
      <c r="G198" s="105"/>
      <c r="H198" s="105"/>
      <c r="I198" s="105"/>
      <c r="J198" s="105"/>
      <c r="K198" s="136"/>
      <c r="L198" s="105"/>
      <c r="M198" s="105"/>
      <c r="N198" s="105"/>
      <c r="O198" s="105"/>
      <c r="P198" s="135"/>
      <c r="Q198" s="105"/>
      <c r="R198" s="136"/>
      <c r="S198" s="105"/>
      <c r="T198" s="135"/>
      <c r="U198" s="354"/>
      <c r="V198" s="353"/>
      <c r="W198" s="130"/>
      <c r="X198" s="130"/>
      <c r="Y198" s="403"/>
      <c r="Z198" s="404"/>
    </row>
    <row r="199" spans="1:26" s="133" customFormat="1" ht="15.6" customHeight="1" x14ac:dyDescent="0.25">
      <c r="A199" s="209"/>
      <c r="B199" s="161"/>
      <c r="C199" s="105"/>
      <c r="D199" s="105"/>
      <c r="E199" s="105"/>
      <c r="F199" s="105"/>
      <c r="G199" s="105"/>
      <c r="H199" s="105"/>
      <c r="I199" s="105"/>
      <c r="J199" s="105"/>
      <c r="K199" s="136"/>
      <c r="L199" s="105"/>
      <c r="M199" s="105"/>
      <c r="N199" s="105"/>
      <c r="O199" s="105"/>
      <c r="P199" s="135"/>
      <c r="Q199" s="105"/>
      <c r="R199" s="136"/>
      <c r="S199" s="105"/>
      <c r="T199" s="135"/>
      <c r="U199" s="354"/>
      <c r="V199" s="353"/>
      <c r="W199" s="130"/>
      <c r="X199" s="130"/>
      <c r="Y199" s="403"/>
      <c r="Z199" s="404"/>
    </row>
    <row r="200" spans="1:26" s="133" customFormat="1" ht="15.6" customHeight="1" x14ac:dyDescent="0.25">
      <c r="A200" s="209"/>
      <c r="B200" s="161"/>
      <c r="C200" s="105"/>
      <c r="D200" s="105"/>
      <c r="E200" s="105"/>
      <c r="F200" s="105"/>
      <c r="G200" s="105"/>
      <c r="H200" s="105"/>
      <c r="I200" s="105"/>
      <c r="J200" s="105"/>
      <c r="K200" s="136"/>
      <c r="L200" s="105"/>
      <c r="M200" s="105"/>
      <c r="N200" s="105"/>
      <c r="O200" s="105"/>
      <c r="P200" s="135"/>
      <c r="Q200" s="105"/>
      <c r="R200" s="136"/>
      <c r="S200" s="105"/>
      <c r="T200" s="135"/>
      <c r="U200" s="354"/>
      <c r="V200" s="353"/>
      <c r="W200" s="130"/>
      <c r="X200" s="130"/>
      <c r="Y200" s="403"/>
      <c r="Z200" s="404"/>
    </row>
    <row r="201" spans="1:26" s="133" customFormat="1" ht="15.6" customHeight="1" x14ac:dyDescent="0.25">
      <c r="A201" s="209"/>
      <c r="B201" s="161"/>
      <c r="C201" s="105"/>
      <c r="D201" s="105"/>
      <c r="E201" s="105"/>
      <c r="F201" s="105"/>
      <c r="G201" s="105"/>
      <c r="H201" s="105"/>
      <c r="I201" s="105"/>
      <c r="J201" s="105"/>
      <c r="K201" s="136"/>
      <c r="L201" s="105"/>
      <c r="M201" s="105"/>
      <c r="N201" s="105"/>
      <c r="O201" s="105"/>
      <c r="P201" s="135"/>
      <c r="Q201" s="105"/>
      <c r="R201" s="136"/>
      <c r="S201" s="105"/>
      <c r="T201" s="135"/>
      <c r="U201" s="354"/>
      <c r="V201" s="353"/>
      <c r="W201" s="130"/>
      <c r="X201" s="130"/>
      <c r="Y201" s="403"/>
      <c r="Z201" s="404"/>
    </row>
    <row r="202" spans="1:26" s="133" customFormat="1" ht="15.6" customHeight="1" x14ac:dyDescent="0.25">
      <c r="A202" s="209"/>
      <c r="B202" s="161"/>
      <c r="C202" s="105"/>
      <c r="D202" s="105"/>
      <c r="E202" s="105"/>
      <c r="F202" s="105"/>
      <c r="G202" s="105"/>
      <c r="H202" s="105"/>
      <c r="I202" s="105"/>
      <c r="J202" s="105"/>
      <c r="K202" s="136"/>
      <c r="L202" s="105"/>
      <c r="M202" s="105"/>
      <c r="N202" s="105"/>
      <c r="O202" s="105"/>
      <c r="P202" s="135"/>
      <c r="Q202" s="105"/>
      <c r="R202" s="136"/>
      <c r="S202" s="105"/>
      <c r="T202" s="135"/>
      <c r="U202" s="354"/>
      <c r="V202" s="353"/>
      <c r="W202" s="130"/>
      <c r="X202" s="130"/>
      <c r="Y202" s="403"/>
      <c r="Z202" s="404"/>
    </row>
    <row r="203" spans="1:26" s="133" customFormat="1" ht="15.6" customHeight="1" x14ac:dyDescent="0.25">
      <c r="A203" s="209"/>
      <c r="B203" s="161"/>
      <c r="C203" s="105"/>
      <c r="D203" s="105"/>
      <c r="E203" s="105"/>
      <c r="F203" s="105"/>
      <c r="G203" s="105"/>
      <c r="H203" s="105"/>
      <c r="I203" s="105"/>
      <c r="J203" s="105"/>
      <c r="K203" s="136"/>
      <c r="L203" s="105"/>
      <c r="M203" s="105"/>
      <c r="N203" s="105"/>
      <c r="O203" s="105"/>
      <c r="P203" s="135"/>
      <c r="Q203" s="105"/>
      <c r="R203" s="136"/>
      <c r="S203" s="105"/>
      <c r="T203" s="135"/>
      <c r="U203" s="354"/>
      <c r="V203" s="353"/>
      <c r="W203" s="130"/>
      <c r="X203" s="130"/>
      <c r="Y203" s="403"/>
      <c r="Z203" s="404"/>
    </row>
    <row r="204" spans="1:26" s="133" customFormat="1" ht="15.6" customHeight="1" x14ac:dyDescent="0.25">
      <c r="A204" s="209"/>
      <c r="B204" s="161"/>
      <c r="C204" s="105"/>
      <c r="D204" s="105"/>
      <c r="E204" s="105"/>
      <c r="F204" s="105"/>
      <c r="G204" s="105"/>
      <c r="H204" s="105"/>
      <c r="I204" s="105"/>
      <c r="J204" s="105"/>
      <c r="K204" s="136"/>
      <c r="L204" s="105"/>
      <c r="M204" s="105"/>
      <c r="N204" s="105"/>
      <c r="O204" s="105"/>
      <c r="P204" s="135"/>
      <c r="Q204" s="105"/>
      <c r="R204" s="136"/>
      <c r="S204" s="105"/>
      <c r="T204" s="135"/>
      <c r="U204" s="354"/>
      <c r="V204" s="353"/>
      <c r="W204" s="130"/>
      <c r="X204" s="130"/>
      <c r="Y204" s="403"/>
      <c r="Z204" s="404"/>
    </row>
    <row r="205" spans="1:26" s="133" customFormat="1" ht="15.6" customHeight="1" x14ac:dyDescent="0.25">
      <c r="A205" s="209"/>
      <c r="B205" s="161"/>
      <c r="C205" s="105"/>
      <c r="D205" s="105"/>
      <c r="E205" s="105"/>
      <c r="F205" s="105"/>
      <c r="G205" s="105"/>
      <c r="H205" s="105"/>
      <c r="I205" s="105"/>
      <c r="J205" s="105"/>
      <c r="K205" s="136"/>
      <c r="L205" s="105"/>
      <c r="M205" s="105"/>
      <c r="N205" s="105"/>
      <c r="O205" s="105"/>
      <c r="P205" s="135"/>
      <c r="Q205" s="105"/>
      <c r="R205" s="136"/>
      <c r="S205" s="105"/>
      <c r="T205" s="135"/>
      <c r="U205" s="354"/>
      <c r="V205" s="353"/>
      <c r="W205" s="130"/>
      <c r="X205" s="130"/>
      <c r="Y205" s="403"/>
      <c r="Z205" s="404"/>
    </row>
    <row r="206" spans="1:26" s="133" customFormat="1" ht="15.6" customHeight="1" x14ac:dyDescent="0.25">
      <c r="A206" s="209"/>
      <c r="B206" s="161"/>
      <c r="C206" s="105"/>
      <c r="D206" s="105"/>
      <c r="E206" s="105"/>
      <c r="F206" s="105"/>
      <c r="G206" s="105"/>
      <c r="H206" s="105"/>
      <c r="I206" s="105"/>
      <c r="J206" s="105"/>
      <c r="K206" s="136"/>
      <c r="L206" s="105"/>
      <c r="M206" s="105"/>
      <c r="N206" s="105"/>
      <c r="O206" s="105"/>
      <c r="P206" s="135"/>
      <c r="Q206" s="105"/>
      <c r="R206" s="136"/>
      <c r="S206" s="105"/>
      <c r="T206" s="135"/>
      <c r="U206" s="354"/>
      <c r="V206" s="353"/>
      <c r="W206" s="130"/>
      <c r="X206" s="130"/>
      <c r="Y206" s="403"/>
      <c r="Z206" s="404"/>
    </row>
    <row r="207" spans="1:26" s="133" customFormat="1" ht="15.6" customHeight="1" x14ac:dyDescent="0.25">
      <c r="A207" s="209"/>
      <c r="B207" s="161"/>
      <c r="C207" s="105"/>
      <c r="D207" s="105"/>
      <c r="E207" s="105"/>
      <c r="F207" s="105"/>
      <c r="G207" s="105"/>
      <c r="H207" s="105"/>
      <c r="I207" s="105"/>
      <c r="J207" s="105"/>
      <c r="K207" s="136"/>
      <c r="L207" s="105"/>
      <c r="M207" s="105"/>
      <c r="N207" s="105"/>
      <c r="O207" s="105"/>
      <c r="P207" s="135"/>
      <c r="Q207" s="105"/>
      <c r="R207" s="136"/>
      <c r="S207" s="105"/>
      <c r="T207" s="135"/>
      <c r="U207" s="354"/>
      <c r="V207" s="353"/>
      <c r="W207" s="130"/>
      <c r="X207" s="130"/>
      <c r="Y207" s="403"/>
      <c r="Z207" s="404"/>
    </row>
    <row r="208" spans="1:26" s="133" customFormat="1" ht="15.6" customHeight="1" x14ac:dyDescent="0.25">
      <c r="A208" s="209"/>
      <c r="B208" s="161"/>
      <c r="C208" s="105"/>
      <c r="D208" s="105"/>
      <c r="E208" s="105"/>
      <c r="F208" s="105"/>
      <c r="G208" s="105"/>
      <c r="H208" s="105"/>
      <c r="I208" s="105"/>
      <c r="J208" s="105"/>
      <c r="K208" s="136"/>
      <c r="L208" s="105"/>
      <c r="M208" s="105"/>
      <c r="N208" s="105"/>
      <c r="O208" s="105"/>
      <c r="P208" s="135"/>
      <c r="Q208" s="105"/>
      <c r="R208" s="136"/>
      <c r="S208" s="105"/>
      <c r="T208" s="135"/>
      <c r="U208" s="354"/>
      <c r="V208" s="353"/>
      <c r="W208" s="130"/>
      <c r="X208" s="130"/>
      <c r="Y208" s="403"/>
      <c r="Z208" s="404"/>
    </row>
    <row r="209" spans="1:26" s="133" customFormat="1" ht="15.6" customHeight="1" x14ac:dyDescent="0.25">
      <c r="A209" s="209"/>
      <c r="B209" s="161"/>
      <c r="C209" s="105"/>
      <c r="D209" s="105"/>
      <c r="E209" s="105"/>
      <c r="F209" s="105"/>
      <c r="G209" s="105"/>
      <c r="H209" s="105"/>
      <c r="I209" s="105"/>
      <c r="J209" s="105"/>
      <c r="K209" s="136"/>
      <c r="L209" s="105"/>
      <c r="M209" s="105"/>
      <c r="N209" s="105"/>
      <c r="O209" s="105"/>
      <c r="P209" s="135"/>
      <c r="Q209" s="105"/>
      <c r="R209" s="136"/>
      <c r="S209" s="105"/>
      <c r="T209" s="135"/>
      <c r="U209" s="354"/>
      <c r="V209" s="353"/>
      <c r="W209" s="130"/>
      <c r="X209" s="130"/>
      <c r="Y209" s="403"/>
      <c r="Z209" s="404"/>
    </row>
    <row r="210" spans="1:26" s="133" customFormat="1" ht="15.6" customHeight="1" x14ac:dyDescent="0.25">
      <c r="A210" s="209"/>
      <c r="B210" s="161"/>
      <c r="C210" s="105"/>
      <c r="D210" s="105"/>
      <c r="E210" s="105"/>
      <c r="F210" s="105"/>
      <c r="G210" s="105"/>
      <c r="H210" s="105"/>
      <c r="I210" s="105"/>
      <c r="J210" s="105"/>
      <c r="K210" s="136"/>
      <c r="L210" s="105"/>
      <c r="M210" s="105"/>
      <c r="N210" s="105"/>
      <c r="O210" s="105"/>
      <c r="P210" s="135"/>
      <c r="Q210" s="105"/>
      <c r="R210" s="136"/>
      <c r="S210" s="105"/>
      <c r="T210" s="135"/>
      <c r="U210" s="354"/>
      <c r="V210" s="353"/>
      <c r="W210" s="130"/>
      <c r="X210" s="130"/>
      <c r="Y210" s="403"/>
      <c r="Z210" s="404"/>
    </row>
    <row r="211" spans="1:26" s="133" customFormat="1" ht="15.6" customHeight="1" x14ac:dyDescent="0.25">
      <c r="A211" s="209"/>
      <c r="B211" s="161"/>
      <c r="C211" s="105"/>
      <c r="D211" s="105"/>
      <c r="E211" s="105"/>
      <c r="F211" s="105"/>
      <c r="G211" s="105"/>
      <c r="H211" s="105"/>
      <c r="I211" s="105"/>
      <c r="J211" s="105"/>
      <c r="K211" s="136"/>
      <c r="L211" s="105"/>
      <c r="M211" s="105"/>
      <c r="N211" s="105"/>
      <c r="O211" s="105"/>
      <c r="P211" s="135"/>
      <c r="Q211" s="105"/>
      <c r="R211" s="136"/>
      <c r="S211" s="105"/>
      <c r="T211" s="135"/>
      <c r="U211" s="354"/>
      <c r="V211" s="353"/>
      <c r="W211" s="130"/>
      <c r="X211" s="130"/>
      <c r="Y211" s="403"/>
      <c r="Z211" s="404"/>
    </row>
    <row r="212" spans="1:26" s="133" customFormat="1" ht="15.6" customHeight="1" x14ac:dyDescent="0.25">
      <c r="A212" s="209"/>
      <c r="B212" s="161"/>
      <c r="C212" s="105"/>
      <c r="D212" s="105"/>
      <c r="E212" s="105"/>
      <c r="F212" s="105"/>
      <c r="G212" s="105"/>
      <c r="H212" s="105"/>
      <c r="I212" s="105"/>
      <c r="J212" s="105"/>
      <c r="K212" s="136"/>
      <c r="L212" s="105"/>
      <c r="M212" s="105"/>
      <c r="N212" s="105"/>
      <c r="O212" s="105"/>
      <c r="P212" s="135"/>
      <c r="Q212" s="105"/>
      <c r="R212" s="136"/>
      <c r="S212" s="105"/>
      <c r="T212" s="135"/>
      <c r="U212" s="354"/>
      <c r="V212" s="353"/>
      <c r="W212" s="130"/>
      <c r="X212" s="130"/>
      <c r="Y212" s="403"/>
      <c r="Z212" s="404"/>
    </row>
    <row r="213" spans="1:26" s="133" customFormat="1" ht="15.6" customHeight="1" x14ac:dyDescent="0.25">
      <c r="A213" s="209"/>
      <c r="B213" s="161"/>
      <c r="C213" s="105"/>
      <c r="D213" s="105"/>
      <c r="E213" s="105"/>
      <c r="F213" s="105"/>
      <c r="G213" s="105"/>
      <c r="H213" s="105"/>
      <c r="I213" s="105"/>
      <c r="J213" s="105"/>
      <c r="K213" s="136"/>
      <c r="L213" s="105"/>
      <c r="M213" s="105"/>
      <c r="N213" s="105"/>
      <c r="O213" s="105"/>
      <c r="P213" s="135"/>
      <c r="Q213" s="105"/>
      <c r="R213" s="136"/>
      <c r="S213" s="105"/>
      <c r="T213" s="135"/>
      <c r="U213" s="354"/>
      <c r="V213" s="353"/>
      <c r="W213" s="130"/>
      <c r="X213" s="130"/>
      <c r="Y213" s="403"/>
      <c r="Z213" s="404"/>
    </row>
    <row r="214" spans="1:26" s="133" customFormat="1" ht="15.6" customHeight="1" x14ac:dyDescent="0.25">
      <c r="A214" s="209"/>
      <c r="B214" s="161"/>
      <c r="C214" s="105"/>
      <c r="D214" s="105"/>
      <c r="E214" s="105"/>
      <c r="F214" s="105"/>
      <c r="G214" s="105"/>
      <c r="H214" s="105"/>
      <c r="I214" s="105"/>
      <c r="J214" s="105"/>
      <c r="K214" s="136"/>
      <c r="L214" s="105"/>
      <c r="M214" s="105"/>
      <c r="N214" s="105"/>
      <c r="O214" s="105"/>
      <c r="P214" s="135"/>
      <c r="Q214" s="105"/>
      <c r="R214" s="136"/>
      <c r="S214" s="105"/>
      <c r="T214" s="135"/>
      <c r="U214" s="354"/>
      <c r="V214" s="353"/>
      <c r="W214" s="130"/>
      <c r="X214" s="130"/>
      <c r="Y214" s="403"/>
      <c r="Z214" s="404"/>
    </row>
    <row r="215" spans="1:26" s="133" customFormat="1" ht="15.6" customHeight="1" x14ac:dyDescent="0.25">
      <c r="A215" s="209"/>
      <c r="B215" s="161"/>
      <c r="C215" s="105"/>
      <c r="D215" s="105"/>
      <c r="E215" s="105"/>
      <c r="F215" s="105"/>
      <c r="G215" s="105"/>
      <c r="H215" s="105"/>
      <c r="I215" s="105"/>
      <c r="J215" s="105"/>
      <c r="K215" s="136"/>
      <c r="L215" s="105"/>
      <c r="M215" s="105"/>
      <c r="N215" s="105"/>
      <c r="O215" s="105"/>
      <c r="P215" s="135"/>
      <c r="Q215" s="105"/>
      <c r="R215" s="136"/>
      <c r="S215" s="105"/>
      <c r="T215" s="135"/>
      <c r="U215" s="354"/>
      <c r="V215" s="353"/>
      <c r="W215" s="130"/>
      <c r="X215" s="130"/>
      <c r="Y215" s="403"/>
      <c r="Z215" s="404"/>
    </row>
    <row r="216" spans="1:26" s="133" customFormat="1" ht="15.6" customHeight="1" x14ac:dyDescent="0.25">
      <c r="A216" s="209"/>
      <c r="B216" s="161"/>
      <c r="C216" s="105"/>
      <c r="D216" s="105"/>
      <c r="E216" s="105"/>
      <c r="F216" s="105"/>
      <c r="G216" s="105"/>
      <c r="H216" s="105"/>
      <c r="I216" s="105"/>
      <c r="J216" s="105"/>
      <c r="K216" s="136"/>
      <c r="L216" s="105"/>
      <c r="M216" s="105"/>
      <c r="N216" s="105"/>
      <c r="O216" s="105"/>
      <c r="P216" s="135"/>
      <c r="Q216" s="105"/>
      <c r="R216" s="136"/>
      <c r="S216" s="105"/>
      <c r="T216" s="135"/>
      <c r="U216" s="354"/>
      <c r="V216" s="353"/>
      <c r="W216" s="130"/>
      <c r="X216" s="130"/>
      <c r="Y216" s="403"/>
      <c r="Z216" s="404"/>
    </row>
    <row r="217" spans="1:26" s="133" customFormat="1" ht="15.6" customHeight="1" x14ac:dyDescent="0.25">
      <c r="A217" s="209"/>
      <c r="B217" s="161"/>
      <c r="C217" s="105"/>
      <c r="D217" s="105"/>
      <c r="E217" s="105"/>
      <c r="F217" s="105"/>
      <c r="G217" s="105"/>
      <c r="H217" s="105"/>
      <c r="I217" s="105"/>
      <c r="J217" s="105"/>
      <c r="K217" s="136"/>
      <c r="L217" s="105"/>
      <c r="M217" s="105"/>
      <c r="N217" s="105"/>
      <c r="O217" s="105"/>
      <c r="P217" s="135"/>
      <c r="Q217" s="105"/>
      <c r="R217" s="136"/>
      <c r="S217" s="105"/>
      <c r="T217" s="135"/>
      <c r="U217" s="354"/>
      <c r="V217" s="353"/>
      <c r="W217" s="219" t="e">
        <f>SUM(#REF!)</f>
        <v>#REF!</v>
      </c>
      <c r="X217" s="130"/>
      <c r="Y217" s="403"/>
      <c r="Z217" s="404"/>
    </row>
    <row r="218" spans="1:26" s="133" customFormat="1" ht="15.6" customHeight="1" x14ac:dyDescent="0.25">
      <c r="A218" s="209"/>
      <c r="B218" s="161"/>
      <c r="C218" s="105"/>
      <c r="D218" s="105"/>
      <c r="E218" s="105"/>
      <c r="F218" s="105"/>
      <c r="G218" s="105"/>
      <c r="H218" s="105"/>
      <c r="I218" s="105"/>
      <c r="J218" s="105"/>
      <c r="K218" s="136"/>
      <c r="L218" s="105"/>
      <c r="M218" s="105"/>
      <c r="N218" s="105"/>
      <c r="O218" s="105"/>
      <c r="P218" s="135"/>
      <c r="Q218" s="105"/>
      <c r="R218" s="136"/>
      <c r="S218" s="105"/>
      <c r="T218" s="135"/>
      <c r="U218" s="354"/>
      <c r="V218" s="353"/>
      <c r="W218" s="130"/>
      <c r="X218" s="130"/>
      <c r="Y218" s="403"/>
      <c r="Z218" s="404"/>
    </row>
    <row r="219" spans="1:26" s="133" customFormat="1" ht="15.6" customHeight="1" x14ac:dyDescent="0.25">
      <c r="A219" s="209"/>
      <c r="B219" s="161"/>
      <c r="C219" s="105"/>
      <c r="D219" s="105"/>
      <c r="E219" s="105"/>
      <c r="F219" s="105"/>
      <c r="G219" s="105"/>
      <c r="H219" s="105"/>
      <c r="I219" s="105"/>
      <c r="J219" s="105"/>
      <c r="K219" s="136"/>
      <c r="L219" s="105"/>
      <c r="M219" s="105"/>
      <c r="N219" s="105"/>
      <c r="O219" s="105"/>
      <c r="P219" s="135"/>
      <c r="Q219" s="105"/>
      <c r="R219" s="136"/>
      <c r="S219" s="105"/>
      <c r="T219" s="135"/>
      <c r="U219" s="354"/>
      <c r="V219" s="353"/>
      <c r="W219" s="130"/>
      <c r="X219" s="130"/>
      <c r="Y219" s="403"/>
      <c r="Z219" s="404"/>
    </row>
    <row r="220" spans="1:26" s="133" customFormat="1" ht="15.6" customHeight="1" x14ac:dyDescent="0.25">
      <c r="A220" s="209"/>
      <c r="B220" s="161"/>
      <c r="C220" s="105"/>
      <c r="D220" s="105"/>
      <c r="E220" s="105"/>
      <c r="F220" s="105"/>
      <c r="G220" s="105"/>
      <c r="H220" s="105"/>
      <c r="I220" s="105"/>
      <c r="J220" s="105"/>
      <c r="K220" s="136"/>
      <c r="L220" s="105"/>
      <c r="M220" s="105"/>
      <c r="N220" s="105"/>
      <c r="O220" s="105"/>
      <c r="P220" s="135"/>
      <c r="Q220" s="105"/>
      <c r="R220" s="136"/>
      <c r="S220" s="105"/>
      <c r="T220" s="135"/>
      <c r="U220" s="354"/>
      <c r="V220" s="353"/>
      <c r="W220" s="130"/>
      <c r="X220" s="130"/>
      <c r="Y220" s="403"/>
      <c r="Z220" s="404"/>
    </row>
    <row r="221" spans="1:26" s="133" customFormat="1" ht="15.6" customHeight="1" x14ac:dyDescent="0.25">
      <c r="A221" s="209"/>
      <c r="B221" s="161"/>
      <c r="C221" s="105"/>
      <c r="D221" s="105"/>
      <c r="E221" s="105"/>
      <c r="F221" s="105"/>
      <c r="G221" s="105"/>
      <c r="H221" s="105"/>
      <c r="I221" s="105"/>
      <c r="J221" s="105"/>
      <c r="K221" s="136"/>
      <c r="L221" s="105"/>
      <c r="M221" s="105"/>
      <c r="N221" s="105"/>
      <c r="O221" s="105"/>
      <c r="P221" s="135"/>
      <c r="Q221" s="105"/>
      <c r="R221" s="136"/>
      <c r="S221" s="105"/>
      <c r="T221" s="135"/>
      <c r="U221" s="354"/>
      <c r="V221" s="353"/>
      <c r="W221" s="130"/>
      <c r="X221" s="130"/>
      <c r="Y221" s="403"/>
      <c r="Z221" s="404"/>
    </row>
    <row r="222" spans="1:26" s="133" customFormat="1" ht="15.6" customHeight="1" x14ac:dyDescent="0.25">
      <c r="A222" s="209"/>
      <c r="B222" s="161"/>
      <c r="C222" s="105"/>
      <c r="D222" s="105"/>
      <c r="E222" s="105"/>
      <c r="F222" s="105"/>
      <c r="G222" s="105"/>
      <c r="H222" s="105"/>
      <c r="I222" s="105"/>
      <c r="J222" s="105"/>
      <c r="K222" s="136"/>
      <c r="L222" s="105"/>
      <c r="M222" s="105"/>
      <c r="N222" s="105"/>
      <c r="O222" s="105"/>
      <c r="P222" s="135"/>
      <c r="Q222" s="105"/>
      <c r="R222" s="136"/>
      <c r="S222" s="105"/>
      <c r="T222" s="135"/>
      <c r="U222" s="354"/>
      <c r="V222" s="353"/>
      <c r="W222" s="130"/>
      <c r="X222" s="130"/>
      <c r="Y222" s="403"/>
      <c r="Z222" s="404"/>
    </row>
    <row r="223" spans="1:26" s="133" customFormat="1" ht="15.6" customHeight="1" x14ac:dyDescent="0.25">
      <c r="A223" s="209"/>
      <c r="B223" s="161"/>
      <c r="C223" s="105"/>
      <c r="D223" s="105"/>
      <c r="E223" s="105"/>
      <c r="F223" s="105"/>
      <c r="G223" s="105"/>
      <c r="H223" s="105"/>
      <c r="I223" s="105"/>
      <c r="J223" s="105"/>
      <c r="K223" s="136"/>
      <c r="L223" s="105"/>
      <c r="M223" s="105"/>
      <c r="N223" s="105"/>
      <c r="O223" s="105"/>
      <c r="P223" s="135"/>
      <c r="Q223" s="105"/>
      <c r="R223" s="136"/>
      <c r="S223" s="105"/>
      <c r="T223" s="135"/>
      <c r="U223" s="354"/>
      <c r="V223" s="353"/>
      <c r="W223" s="130"/>
      <c r="X223" s="130"/>
      <c r="Y223" s="403"/>
      <c r="Z223" s="404"/>
    </row>
    <row r="224" spans="1:26" s="133" customFormat="1" ht="15.6" customHeight="1" x14ac:dyDescent="0.25">
      <c r="A224" s="209"/>
      <c r="B224" s="161"/>
      <c r="C224" s="105"/>
      <c r="D224" s="105"/>
      <c r="E224" s="105"/>
      <c r="F224" s="105"/>
      <c r="G224" s="105"/>
      <c r="H224" s="105"/>
      <c r="I224" s="105"/>
      <c r="J224" s="105"/>
      <c r="K224" s="136"/>
      <c r="L224" s="105"/>
      <c r="M224" s="105"/>
      <c r="N224" s="105"/>
      <c r="O224" s="105"/>
      <c r="P224" s="135"/>
      <c r="Q224" s="105"/>
      <c r="R224" s="136"/>
      <c r="S224" s="105"/>
      <c r="T224" s="135"/>
      <c r="U224" s="354"/>
      <c r="V224" s="353"/>
      <c r="W224" s="130"/>
      <c r="X224" s="130"/>
      <c r="Y224" s="403"/>
      <c r="Z224" s="404"/>
    </row>
    <row r="225" spans="1:26" s="133" customFormat="1" ht="15.6" customHeight="1" x14ac:dyDescent="0.25">
      <c r="A225" s="209"/>
      <c r="B225" s="161"/>
      <c r="C225" s="105"/>
      <c r="D225" s="105"/>
      <c r="E225" s="105"/>
      <c r="F225" s="105"/>
      <c r="G225" s="105"/>
      <c r="H225" s="105"/>
      <c r="I225" s="105"/>
      <c r="J225" s="105"/>
      <c r="K225" s="136"/>
      <c r="L225" s="105"/>
      <c r="M225" s="105"/>
      <c r="N225" s="105"/>
      <c r="O225" s="105"/>
      <c r="P225" s="135"/>
      <c r="Q225" s="105"/>
      <c r="R225" s="136"/>
      <c r="S225" s="105"/>
      <c r="T225" s="135"/>
      <c r="U225" s="354"/>
      <c r="V225" s="353"/>
      <c r="W225" s="130"/>
      <c r="X225" s="130"/>
      <c r="Y225" s="403"/>
      <c r="Z225" s="404"/>
    </row>
    <row r="226" spans="1:26" s="133" customFormat="1" ht="15.6" customHeight="1" x14ac:dyDescent="0.25">
      <c r="A226" s="209"/>
      <c r="B226" s="161"/>
      <c r="C226" s="105"/>
      <c r="D226" s="105"/>
      <c r="E226" s="105"/>
      <c r="F226" s="105"/>
      <c r="G226" s="105"/>
      <c r="H226" s="105"/>
      <c r="I226" s="105"/>
      <c r="J226" s="105"/>
      <c r="K226" s="136"/>
      <c r="L226" s="105"/>
      <c r="M226" s="105"/>
      <c r="N226" s="105"/>
      <c r="O226" s="105"/>
      <c r="P226" s="135"/>
      <c r="Q226" s="105"/>
      <c r="R226" s="136"/>
      <c r="S226" s="105"/>
      <c r="T226" s="135"/>
      <c r="U226" s="354"/>
      <c r="V226" s="353"/>
      <c r="W226" s="130"/>
      <c r="X226" s="130"/>
      <c r="Y226" s="403"/>
      <c r="Z226" s="404"/>
    </row>
    <row r="227" spans="1:26" s="133" customFormat="1" ht="15.6" customHeight="1" x14ac:dyDescent="0.25">
      <c r="A227" s="209"/>
      <c r="B227" s="161"/>
      <c r="C227" s="105"/>
      <c r="D227" s="105"/>
      <c r="E227" s="105"/>
      <c r="F227" s="105"/>
      <c r="G227" s="105"/>
      <c r="H227" s="105"/>
      <c r="I227" s="105"/>
      <c r="J227" s="105"/>
      <c r="K227" s="136"/>
      <c r="L227" s="105"/>
      <c r="M227" s="105"/>
      <c r="N227" s="105"/>
      <c r="O227" s="105"/>
      <c r="P227" s="135"/>
      <c r="Q227" s="105"/>
      <c r="R227" s="136"/>
      <c r="S227" s="105"/>
      <c r="T227" s="135"/>
      <c r="U227" s="354"/>
      <c r="V227" s="353"/>
      <c r="W227" s="130"/>
      <c r="X227" s="130"/>
      <c r="Y227" s="403"/>
      <c r="Z227" s="404"/>
    </row>
    <row r="228" spans="1:26" s="133" customFormat="1" ht="15.6" customHeight="1" x14ac:dyDescent="0.25">
      <c r="A228" s="209"/>
      <c r="B228" s="161"/>
      <c r="C228" s="105"/>
      <c r="D228" s="105"/>
      <c r="E228" s="105"/>
      <c r="F228" s="105"/>
      <c r="G228" s="105"/>
      <c r="H228" s="105"/>
      <c r="I228" s="105"/>
      <c r="J228" s="105"/>
      <c r="K228" s="136"/>
      <c r="L228" s="105"/>
      <c r="M228" s="105"/>
      <c r="N228" s="105"/>
      <c r="O228" s="105"/>
      <c r="P228" s="135"/>
      <c r="Q228" s="105"/>
      <c r="R228" s="136"/>
      <c r="S228" s="105"/>
      <c r="T228" s="135"/>
      <c r="U228" s="354"/>
      <c r="V228" s="353"/>
      <c r="W228" s="130"/>
      <c r="X228" s="130"/>
      <c r="Y228" s="403"/>
      <c r="Z228" s="404"/>
    </row>
    <row r="229" spans="1:26" s="133" customFormat="1" ht="15.6" customHeight="1" x14ac:dyDescent="0.25">
      <c r="A229" s="209"/>
      <c r="B229" s="161"/>
      <c r="C229" s="105"/>
      <c r="D229" s="105"/>
      <c r="E229" s="105"/>
      <c r="F229" s="105"/>
      <c r="G229" s="105"/>
      <c r="H229" s="105"/>
      <c r="I229" s="105"/>
      <c r="J229" s="105"/>
      <c r="K229" s="136"/>
      <c r="L229" s="105"/>
      <c r="M229" s="105"/>
      <c r="N229" s="105"/>
      <c r="O229" s="105"/>
      <c r="P229" s="135"/>
      <c r="Q229" s="105"/>
      <c r="R229" s="136"/>
      <c r="S229" s="105"/>
      <c r="T229" s="135"/>
      <c r="U229" s="354"/>
      <c r="V229" s="353"/>
      <c r="W229" s="130"/>
      <c r="X229" s="130"/>
      <c r="Y229" s="403"/>
      <c r="Z229" s="404"/>
    </row>
    <row r="230" spans="1:26" s="133" customFormat="1" ht="15.6" customHeight="1" x14ac:dyDescent="0.25">
      <c r="A230" s="209"/>
      <c r="B230" s="161"/>
      <c r="C230" s="105"/>
      <c r="D230" s="105"/>
      <c r="E230" s="105"/>
      <c r="F230" s="105"/>
      <c r="G230" s="105"/>
      <c r="H230" s="105"/>
      <c r="I230" s="105"/>
      <c r="J230" s="105"/>
      <c r="K230" s="136"/>
      <c r="L230" s="105"/>
      <c r="M230" s="105"/>
      <c r="N230" s="105"/>
      <c r="O230" s="105"/>
      <c r="P230" s="135"/>
      <c r="Q230" s="105"/>
      <c r="R230" s="136"/>
      <c r="S230" s="105"/>
      <c r="T230" s="135"/>
      <c r="U230" s="354"/>
      <c r="V230" s="353"/>
      <c r="W230" s="130"/>
      <c r="X230" s="130"/>
      <c r="Y230" s="403"/>
      <c r="Z230" s="404"/>
    </row>
    <row r="231" spans="1:26" s="133" customFormat="1" ht="13.5" customHeight="1" x14ac:dyDescent="0.25">
      <c r="A231" s="209"/>
      <c r="B231" s="161"/>
      <c r="C231" s="105"/>
      <c r="D231" s="105"/>
      <c r="E231" s="105"/>
      <c r="F231" s="105"/>
      <c r="G231" s="105"/>
      <c r="H231" s="105"/>
      <c r="I231" s="105"/>
      <c r="J231" s="105"/>
      <c r="K231" s="136"/>
      <c r="L231" s="105"/>
      <c r="M231" s="105"/>
      <c r="N231" s="105"/>
      <c r="O231" s="105"/>
      <c r="P231" s="135"/>
      <c r="Q231" s="105"/>
      <c r="R231" s="136"/>
      <c r="S231" s="105"/>
      <c r="T231" s="135"/>
      <c r="U231" s="354"/>
      <c r="V231" s="353"/>
      <c r="W231" s="130"/>
      <c r="X231" s="130"/>
      <c r="Y231" s="403"/>
      <c r="Z231" s="404"/>
    </row>
    <row r="232" spans="1:26" s="133" customFormat="1" ht="13.5" customHeight="1" x14ac:dyDescent="0.25">
      <c r="A232" s="209"/>
      <c r="B232" s="161"/>
      <c r="C232" s="105"/>
      <c r="D232" s="105"/>
      <c r="E232" s="105"/>
      <c r="F232" s="105"/>
      <c r="G232" s="105"/>
      <c r="H232" s="105"/>
      <c r="I232" s="105"/>
      <c r="J232" s="105"/>
      <c r="K232" s="136"/>
      <c r="L232" s="105"/>
      <c r="M232" s="105"/>
      <c r="N232" s="105"/>
      <c r="O232" s="105"/>
      <c r="P232" s="135"/>
      <c r="Q232" s="105"/>
      <c r="R232" s="136"/>
      <c r="S232" s="105"/>
      <c r="T232" s="135"/>
      <c r="U232" s="354"/>
      <c r="V232" s="353"/>
      <c r="W232" s="130"/>
      <c r="X232" s="130"/>
      <c r="Y232" s="403"/>
      <c r="Z232" s="404"/>
    </row>
    <row r="233" spans="1:26" s="133" customFormat="1" ht="13.5" customHeight="1" x14ac:dyDescent="0.25">
      <c r="A233" s="209"/>
      <c r="B233" s="161"/>
      <c r="C233" s="105"/>
      <c r="D233" s="105"/>
      <c r="E233" s="105"/>
      <c r="F233" s="105"/>
      <c r="G233" s="105"/>
      <c r="H233" s="105"/>
      <c r="I233" s="105"/>
      <c r="J233" s="105"/>
      <c r="K233" s="136"/>
      <c r="L233" s="105"/>
      <c r="M233" s="105"/>
      <c r="N233" s="105"/>
      <c r="O233" s="105"/>
      <c r="P233" s="135"/>
      <c r="Q233" s="105"/>
      <c r="R233" s="136"/>
      <c r="S233" s="105"/>
      <c r="T233" s="135"/>
      <c r="U233" s="354"/>
      <c r="V233" s="353"/>
      <c r="W233" s="130"/>
      <c r="X233" s="130"/>
      <c r="Y233" s="403"/>
      <c r="Z233" s="404"/>
    </row>
    <row r="234" spans="1:26" s="133" customFormat="1" ht="13.5" customHeight="1" x14ac:dyDescent="0.25">
      <c r="A234" s="209"/>
      <c r="B234" s="161"/>
      <c r="C234" s="105"/>
      <c r="D234" s="105"/>
      <c r="E234" s="105"/>
      <c r="F234" s="105"/>
      <c r="G234" s="105"/>
      <c r="H234" s="105"/>
      <c r="I234" s="105"/>
      <c r="J234" s="105"/>
      <c r="K234" s="136"/>
      <c r="L234" s="105"/>
      <c r="M234" s="105"/>
      <c r="N234" s="105"/>
      <c r="O234" s="105"/>
      <c r="P234" s="135"/>
      <c r="Q234" s="105"/>
      <c r="R234" s="136"/>
      <c r="S234" s="105"/>
      <c r="T234" s="135"/>
      <c r="U234" s="354"/>
      <c r="V234" s="353"/>
      <c r="W234" s="130"/>
      <c r="X234" s="130"/>
      <c r="Y234" s="403"/>
      <c r="Z234" s="404"/>
    </row>
    <row r="235" spans="1:26" s="133" customFormat="1" ht="12" customHeight="1" x14ac:dyDescent="0.25">
      <c r="A235" s="209"/>
      <c r="B235" s="161"/>
      <c r="C235" s="105"/>
      <c r="D235" s="105"/>
      <c r="E235" s="105"/>
      <c r="F235" s="105"/>
      <c r="G235" s="105"/>
      <c r="H235" s="105"/>
      <c r="I235" s="105"/>
      <c r="J235" s="105"/>
      <c r="K235" s="136"/>
      <c r="L235" s="105"/>
      <c r="M235" s="105"/>
      <c r="N235" s="105"/>
      <c r="O235" s="105"/>
      <c r="P235" s="135"/>
      <c r="Q235" s="105"/>
      <c r="R235" s="136"/>
      <c r="S235" s="105"/>
      <c r="T235" s="135"/>
      <c r="U235" s="354"/>
      <c r="V235" s="353"/>
      <c r="W235" s="130"/>
      <c r="X235" s="130"/>
      <c r="Y235" s="403"/>
      <c r="Z235" s="404"/>
    </row>
    <row r="236" spans="1:26" s="133" customFormat="1" ht="12" customHeight="1" x14ac:dyDescent="0.25">
      <c r="A236" s="209"/>
      <c r="B236" s="161"/>
      <c r="C236" s="105"/>
      <c r="D236" s="105"/>
      <c r="E236" s="105"/>
      <c r="F236" s="105"/>
      <c r="G236" s="105"/>
      <c r="H236" s="105"/>
      <c r="I236" s="105"/>
      <c r="J236" s="105"/>
      <c r="K236" s="136"/>
      <c r="L236" s="105"/>
      <c r="M236" s="105"/>
      <c r="N236" s="105"/>
      <c r="O236" s="105"/>
      <c r="P236" s="135"/>
      <c r="Q236" s="105"/>
      <c r="R236" s="136"/>
      <c r="S236" s="105"/>
      <c r="T236" s="135"/>
      <c r="U236" s="354"/>
      <c r="V236" s="353"/>
      <c r="W236" s="130"/>
      <c r="X236" s="130"/>
      <c r="Y236" s="403"/>
      <c r="Z236" s="404"/>
    </row>
    <row r="237" spans="1:26" s="133" customFormat="1" ht="12" customHeight="1" x14ac:dyDescent="0.25">
      <c r="A237" s="209"/>
      <c r="B237" s="161"/>
      <c r="C237" s="105"/>
      <c r="D237" s="105"/>
      <c r="E237" s="105"/>
      <c r="F237" s="105"/>
      <c r="G237" s="105"/>
      <c r="H237" s="105"/>
      <c r="I237" s="105"/>
      <c r="J237" s="105"/>
      <c r="K237" s="136"/>
      <c r="L237" s="105"/>
      <c r="M237" s="105"/>
      <c r="N237" s="105"/>
      <c r="O237" s="105"/>
      <c r="P237" s="135"/>
      <c r="Q237" s="105"/>
      <c r="R237" s="136"/>
      <c r="S237" s="105"/>
      <c r="T237" s="135"/>
      <c r="U237" s="354"/>
      <c r="V237" s="353"/>
      <c r="W237" s="130"/>
      <c r="X237" s="130"/>
      <c r="Y237" s="403"/>
      <c r="Z237" s="404"/>
    </row>
    <row r="238" spans="1:26" s="133" customFormat="1" ht="12" customHeight="1" x14ac:dyDescent="0.25">
      <c r="A238" s="209"/>
      <c r="B238" s="161"/>
      <c r="C238" s="105"/>
      <c r="D238" s="105"/>
      <c r="E238" s="105"/>
      <c r="F238" s="105"/>
      <c r="G238" s="105"/>
      <c r="H238" s="105"/>
      <c r="I238" s="105"/>
      <c r="J238" s="105"/>
      <c r="K238" s="136"/>
      <c r="L238" s="105"/>
      <c r="M238" s="105"/>
      <c r="N238" s="105"/>
      <c r="O238" s="105"/>
      <c r="P238" s="135"/>
      <c r="Q238" s="105"/>
      <c r="R238" s="136"/>
      <c r="S238" s="105"/>
      <c r="T238" s="135"/>
      <c r="U238" s="354"/>
      <c r="V238" s="353"/>
      <c r="W238" s="130"/>
      <c r="X238" s="130"/>
      <c r="Y238" s="403"/>
      <c r="Z238" s="404"/>
    </row>
    <row r="239" spans="1:26" s="133" customFormat="1" ht="12" customHeight="1" x14ac:dyDescent="0.25">
      <c r="A239" s="209"/>
      <c r="B239" s="161"/>
      <c r="C239" s="105"/>
      <c r="D239" s="105"/>
      <c r="E239" s="105"/>
      <c r="F239" s="105"/>
      <c r="G239" s="105"/>
      <c r="H239" s="105"/>
      <c r="I239" s="105"/>
      <c r="J239" s="105"/>
      <c r="K239" s="136"/>
      <c r="L239" s="105"/>
      <c r="M239" s="105"/>
      <c r="N239" s="105"/>
      <c r="O239" s="105"/>
      <c r="P239" s="135"/>
      <c r="Q239" s="105"/>
      <c r="R239" s="136"/>
      <c r="S239" s="105"/>
      <c r="T239" s="135"/>
      <c r="U239" s="354"/>
      <c r="V239" s="353"/>
      <c r="W239" s="130"/>
      <c r="X239" s="130"/>
      <c r="Y239" s="403"/>
      <c r="Z239" s="404"/>
    </row>
    <row r="240" spans="1:26" s="133" customFormat="1" ht="12" customHeight="1" x14ac:dyDescent="0.25">
      <c r="A240" s="209"/>
      <c r="B240" s="161"/>
      <c r="C240" s="105"/>
      <c r="D240" s="105"/>
      <c r="E240" s="105"/>
      <c r="F240" s="105"/>
      <c r="G240" s="105"/>
      <c r="H240" s="105"/>
      <c r="I240" s="105"/>
      <c r="J240" s="105"/>
      <c r="K240" s="136"/>
      <c r="L240" s="105"/>
      <c r="M240" s="105"/>
      <c r="N240" s="105"/>
      <c r="O240" s="105"/>
      <c r="P240" s="135"/>
      <c r="Q240" s="105"/>
      <c r="R240" s="136"/>
      <c r="S240" s="105"/>
      <c r="T240" s="135"/>
      <c r="U240" s="354"/>
      <c r="V240" s="353"/>
      <c r="W240" s="130"/>
      <c r="X240" s="130"/>
      <c r="Y240" s="403"/>
      <c r="Z240" s="404"/>
    </row>
    <row r="241" spans="1:26" s="133" customFormat="1" ht="12" customHeight="1" x14ac:dyDescent="0.25">
      <c r="A241" s="209"/>
      <c r="B241" s="161"/>
      <c r="C241" s="105"/>
      <c r="D241" s="105"/>
      <c r="E241" s="105"/>
      <c r="F241" s="105"/>
      <c r="G241" s="105"/>
      <c r="H241" s="105"/>
      <c r="I241" s="105"/>
      <c r="J241" s="105"/>
      <c r="K241" s="136"/>
      <c r="L241" s="105"/>
      <c r="M241" s="105"/>
      <c r="N241" s="105"/>
      <c r="O241" s="105"/>
      <c r="P241" s="135"/>
      <c r="Q241" s="105"/>
      <c r="R241" s="136"/>
      <c r="S241" s="105"/>
      <c r="T241" s="135"/>
      <c r="U241" s="354"/>
      <c r="V241" s="353"/>
      <c r="W241" s="130"/>
      <c r="X241" s="130"/>
      <c r="Y241" s="403"/>
      <c r="Z241" s="404"/>
    </row>
    <row r="242" spans="1:26" s="133" customFormat="1" ht="12" customHeight="1" x14ac:dyDescent="0.25">
      <c r="A242" s="209"/>
      <c r="B242" s="161"/>
      <c r="C242" s="105"/>
      <c r="D242" s="105"/>
      <c r="E242" s="105"/>
      <c r="F242" s="105"/>
      <c r="G242" s="105"/>
      <c r="H242" s="105"/>
      <c r="I242" s="105"/>
      <c r="J242" s="105"/>
      <c r="K242" s="136"/>
      <c r="L242" s="105"/>
      <c r="M242" s="105"/>
      <c r="N242" s="105"/>
      <c r="O242" s="105"/>
      <c r="P242" s="135"/>
      <c r="Q242" s="105"/>
      <c r="R242" s="136"/>
      <c r="S242" s="105"/>
      <c r="T242" s="135"/>
      <c r="U242" s="354"/>
      <c r="V242" s="353"/>
      <c r="W242" s="130"/>
      <c r="X242" s="130"/>
      <c r="Y242" s="403"/>
      <c r="Z242" s="404"/>
    </row>
    <row r="243" spans="1:26" s="133" customFormat="1" ht="12" customHeight="1" x14ac:dyDescent="0.25">
      <c r="A243" s="209"/>
      <c r="B243" s="161"/>
      <c r="C243" s="105"/>
      <c r="D243" s="105"/>
      <c r="E243" s="105"/>
      <c r="F243" s="105"/>
      <c r="G243" s="105"/>
      <c r="H243" s="105"/>
      <c r="I243" s="105"/>
      <c r="J243" s="105"/>
      <c r="K243" s="136"/>
      <c r="L243" s="105"/>
      <c r="M243" s="105"/>
      <c r="N243" s="105"/>
      <c r="O243" s="105"/>
      <c r="P243" s="135"/>
      <c r="Q243" s="105"/>
      <c r="R243" s="136"/>
      <c r="S243" s="105"/>
      <c r="T243" s="135"/>
      <c r="U243" s="354"/>
      <c r="V243" s="353"/>
      <c r="W243" s="130"/>
      <c r="X243" s="130"/>
      <c r="Y243" s="403"/>
      <c r="Z243" s="404"/>
    </row>
    <row r="244" spans="1:26" s="133" customFormat="1" ht="12" customHeight="1" x14ac:dyDescent="0.25">
      <c r="A244" s="209"/>
      <c r="B244" s="161"/>
      <c r="C244" s="105"/>
      <c r="D244" s="105"/>
      <c r="E244" s="105"/>
      <c r="F244" s="105"/>
      <c r="G244" s="105"/>
      <c r="H244" s="105"/>
      <c r="I244" s="105"/>
      <c r="J244" s="105"/>
      <c r="K244" s="136"/>
      <c r="L244" s="105"/>
      <c r="M244" s="105"/>
      <c r="N244" s="105"/>
      <c r="O244" s="105"/>
      <c r="P244" s="135"/>
      <c r="Q244" s="105"/>
      <c r="R244" s="136"/>
      <c r="S244" s="105"/>
      <c r="T244" s="135"/>
      <c r="U244" s="354"/>
      <c r="V244" s="353"/>
      <c r="W244" s="130"/>
      <c r="X244" s="130"/>
      <c r="Y244" s="403"/>
      <c r="Z244" s="404"/>
    </row>
    <row r="245" spans="1:26" s="133" customFormat="1" ht="12" customHeight="1" x14ac:dyDescent="0.25">
      <c r="A245" s="209"/>
      <c r="B245" s="161"/>
      <c r="C245" s="105"/>
      <c r="D245" s="105"/>
      <c r="E245" s="105"/>
      <c r="F245" s="105"/>
      <c r="G245" s="105"/>
      <c r="H245" s="105"/>
      <c r="I245" s="105"/>
      <c r="J245" s="105"/>
      <c r="K245" s="136"/>
      <c r="L245" s="105"/>
      <c r="M245" s="105"/>
      <c r="N245" s="105"/>
      <c r="O245" s="105"/>
      <c r="P245" s="135"/>
      <c r="Q245" s="105"/>
      <c r="R245" s="136"/>
      <c r="S245" s="105"/>
      <c r="T245" s="135"/>
      <c r="U245" s="354"/>
      <c r="V245" s="353"/>
      <c r="W245" s="130"/>
      <c r="X245" s="130"/>
      <c r="Y245" s="403"/>
      <c r="Z245" s="404"/>
    </row>
    <row r="246" spans="1:26" s="133" customFormat="1" ht="12" customHeight="1" x14ac:dyDescent="0.25">
      <c r="A246" s="209"/>
      <c r="B246" s="161"/>
      <c r="C246" s="105"/>
      <c r="D246" s="105"/>
      <c r="E246" s="105"/>
      <c r="F246" s="105"/>
      <c r="G246" s="105"/>
      <c r="H246" s="105"/>
      <c r="I246" s="105"/>
      <c r="J246" s="105"/>
      <c r="K246" s="136"/>
      <c r="L246" s="105"/>
      <c r="M246" s="105"/>
      <c r="N246" s="105"/>
      <c r="O246" s="105"/>
      <c r="P246" s="135"/>
      <c r="Q246" s="105"/>
      <c r="R246" s="136"/>
      <c r="S246" s="105"/>
      <c r="T246" s="135"/>
      <c r="U246" s="354"/>
      <c r="V246" s="353"/>
      <c r="W246" s="130"/>
      <c r="X246" s="130"/>
      <c r="Y246" s="403"/>
      <c r="Z246" s="404"/>
    </row>
    <row r="247" spans="1:26" s="133" customFormat="1" ht="12" customHeight="1" x14ac:dyDescent="0.25">
      <c r="A247" s="209"/>
      <c r="B247" s="161"/>
      <c r="C247" s="105"/>
      <c r="D247" s="105"/>
      <c r="E247" s="105"/>
      <c r="F247" s="105"/>
      <c r="G247" s="105"/>
      <c r="H247" s="105"/>
      <c r="I247" s="105"/>
      <c r="J247" s="105"/>
      <c r="K247" s="136"/>
      <c r="L247" s="105"/>
      <c r="M247" s="105"/>
      <c r="N247" s="105"/>
      <c r="O247" s="105"/>
      <c r="P247" s="135"/>
      <c r="Q247" s="105"/>
      <c r="R247" s="136"/>
      <c r="S247" s="105"/>
      <c r="T247" s="135"/>
      <c r="U247" s="354"/>
      <c r="V247" s="353"/>
      <c r="W247" s="130"/>
      <c r="X247" s="130"/>
      <c r="Y247" s="403"/>
      <c r="Z247" s="404"/>
    </row>
    <row r="248" spans="1:26" s="133" customFormat="1" ht="12" customHeight="1" x14ac:dyDescent="0.25">
      <c r="A248" s="209"/>
      <c r="B248" s="161"/>
      <c r="C248" s="105"/>
      <c r="D248" s="105"/>
      <c r="E248" s="105"/>
      <c r="F248" s="105"/>
      <c r="G248" s="105"/>
      <c r="H248" s="105"/>
      <c r="I248" s="105"/>
      <c r="J248" s="105"/>
      <c r="K248" s="136"/>
      <c r="L248" s="105"/>
      <c r="M248" s="105"/>
      <c r="N248" s="105"/>
      <c r="O248" s="105"/>
      <c r="P248" s="135"/>
      <c r="Q248" s="105"/>
      <c r="R248" s="136"/>
      <c r="S248" s="105"/>
      <c r="T248" s="135"/>
      <c r="U248" s="354"/>
      <c r="V248" s="353"/>
      <c r="W248" s="130"/>
      <c r="X248" s="130"/>
      <c r="Y248" s="403"/>
      <c r="Z248" s="404"/>
    </row>
    <row r="249" spans="1:26" s="133" customFormat="1" ht="12" customHeight="1" x14ac:dyDescent="0.25">
      <c r="A249" s="209"/>
      <c r="B249" s="161"/>
      <c r="C249" s="105"/>
      <c r="D249" s="105"/>
      <c r="E249" s="105"/>
      <c r="F249" s="105"/>
      <c r="G249" s="105"/>
      <c r="H249" s="105"/>
      <c r="I249" s="105"/>
      <c r="J249" s="105"/>
      <c r="K249" s="136"/>
      <c r="L249" s="105"/>
      <c r="M249" s="105"/>
      <c r="N249" s="105"/>
      <c r="O249" s="105"/>
      <c r="P249" s="135"/>
      <c r="Q249" s="105"/>
      <c r="R249" s="136"/>
      <c r="S249" s="105"/>
      <c r="T249" s="135"/>
      <c r="U249" s="354"/>
      <c r="V249" s="353"/>
      <c r="W249" s="130"/>
      <c r="X249" s="130"/>
      <c r="Y249" s="403"/>
      <c r="Z249" s="404"/>
    </row>
    <row r="250" spans="1:26" s="133" customFormat="1" ht="12" customHeight="1" x14ac:dyDescent="0.25">
      <c r="A250" s="209"/>
      <c r="B250" s="161"/>
      <c r="C250" s="105"/>
      <c r="D250" s="105"/>
      <c r="E250" s="105"/>
      <c r="F250" s="105"/>
      <c r="G250" s="105"/>
      <c r="H250" s="105"/>
      <c r="I250" s="105"/>
      <c r="J250" s="105"/>
      <c r="K250" s="136"/>
      <c r="L250" s="105"/>
      <c r="M250" s="105"/>
      <c r="N250" s="105"/>
      <c r="O250" s="105"/>
      <c r="P250" s="135"/>
      <c r="Q250" s="105"/>
      <c r="R250" s="136"/>
      <c r="S250" s="105"/>
      <c r="T250" s="135"/>
      <c r="U250" s="354"/>
      <c r="V250" s="353"/>
      <c r="W250" s="130"/>
      <c r="X250" s="130"/>
      <c r="Y250" s="403"/>
      <c r="Z250" s="404"/>
    </row>
    <row r="251" spans="1:26" s="133" customFormat="1" x14ac:dyDescent="0.25">
      <c r="A251" s="209"/>
      <c r="B251" s="161"/>
      <c r="C251" s="105"/>
      <c r="D251" s="105"/>
      <c r="E251" s="105"/>
      <c r="F251" s="105"/>
      <c r="G251" s="105"/>
      <c r="H251" s="105"/>
      <c r="I251" s="105"/>
      <c r="J251" s="105"/>
      <c r="K251" s="136"/>
      <c r="L251" s="105"/>
      <c r="M251" s="105"/>
      <c r="N251" s="105"/>
      <c r="O251" s="105"/>
      <c r="P251" s="135"/>
      <c r="Q251" s="105"/>
      <c r="R251" s="136"/>
      <c r="S251" s="105"/>
      <c r="T251" s="135"/>
      <c r="U251" s="354"/>
      <c r="V251" s="353"/>
      <c r="W251" s="130"/>
      <c r="X251" s="130"/>
      <c r="Y251" s="403"/>
      <c r="Z251" s="404"/>
    </row>
    <row r="252" spans="1:26" s="133" customFormat="1" x14ac:dyDescent="0.25">
      <c r="A252" s="209"/>
      <c r="B252" s="161"/>
      <c r="C252" s="105"/>
      <c r="D252" s="105"/>
      <c r="E252" s="105"/>
      <c r="F252" s="105"/>
      <c r="G252" s="105"/>
      <c r="H252" s="105"/>
      <c r="I252" s="105"/>
      <c r="J252" s="105"/>
      <c r="K252" s="136"/>
      <c r="L252" s="105"/>
      <c r="M252" s="105"/>
      <c r="N252" s="105"/>
      <c r="O252" s="105"/>
      <c r="P252" s="135"/>
      <c r="Q252" s="105"/>
      <c r="R252" s="136"/>
      <c r="S252" s="105"/>
      <c r="T252" s="135"/>
      <c r="U252" s="354"/>
      <c r="V252" s="353"/>
      <c r="W252" s="130"/>
      <c r="X252" s="130"/>
      <c r="Y252" s="403"/>
      <c r="Z252" s="404"/>
    </row>
    <row r="253" spans="1:26" s="133" customFormat="1" x14ac:dyDescent="0.25">
      <c r="A253" s="209"/>
      <c r="B253" s="161"/>
      <c r="C253" s="105"/>
      <c r="D253" s="105"/>
      <c r="E253" s="105"/>
      <c r="F253" s="105"/>
      <c r="G253" s="105"/>
      <c r="H253" s="105"/>
      <c r="I253" s="105"/>
      <c r="J253" s="105"/>
      <c r="K253" s="136"/>
      <c r="L253" s="105"/>
      <c r="M253" s="105"/>
      <c r="N253" s="105"/>
      <c r="O253" s="105"/>
      <c r="P253" s="135"/>
      <c r="Q253" s="105"/>
      <c r="R253" s="136"/>
      <c r="S253" s="105"/>
      <c r="T253" s="135"/>
      <c r="U253" s="354"/>
      <c r="V253" s="353"/>
      <c r="W253" s="130"/>
      <c r="X253" s="130"/>
      <c r="Y253" s="403"/>
      <c r="Z253" s="404"/>
    </row>
    <row r="254" spans="1:26" s="133" customFormat="1" x14ac:dyDescent="0.25">
      <c r="A254" s="209"/>
      <c r="B254" s="161"/>
      <c r="C254" s="105"/>
      <c r="D254" s="105"/>
      <c r="E254" s="105"/>
      <c r="F254" s="105"/>
      <c r="G254" s="105"/>
      <c r="H254" s="105"/>
      <c r="I254" s="105"/>
      <c r="J254" s="105"/>
      <c r="K254" s="136"/>
      <c r="L254" s="105"/>
      <c r="M254" s="105"/>
      <c r="N254" s="105"/>
      <c r="O254" s="105"/>
      <c r="P254" s="135"/>
      <c r="Q254" s="105"/>
      <c r="R254" s="136"/>
      <c r="S254" s="105"/>
      <c r="T254" s="135"/>
      <c r="U254" s="354"/>
      <c r="V254" s="353"/>
      <c r="W254" s="130"/>
      <c r="X254" s="130"/>
      <c r="Y254" s="403"/>
      <c r="Z254" s="404"/>
    </row>
    <row r="255" spans="1:26" s="133" customFormat="1" x14ac:dyDescent="0.25">
      <c r="A255" s="209"/>
      <c r="B255" s="161"/>
      <c r="C255" s="105"/>
      <c r="D255" s="105"/>
      <c r="E255" s="105"/>
      <c r="F255" s="105"/>
      <c r="G255" s="105"/>
      <c r="H255" s="105"/>
      <c r="I255" s="105"/>
      <c r="J255" s="105"/>
      <c r="K255" s="136"/>
      <c r="L255" s="105"/>
      <c r="M255" s="105"/>
      <c r="N255" s="105"/>
      <c r="O255" s="105"/>
      <c r="P255" s="135"/>
      <c r="Q255" s="105"/>
      <c r="R255" s="136"/>
      <c r="S255" s="105"/>
      <c r="T255" s="135"/>
      <c r="U255" s="354"/>
      <c r="V255" s="353"/>
      <c r="W255" s="130"/>
      <c r="X255" s="130"/>
      <c r="Y255" s="403"/>
      <c r="Z255" s="404"/>
    </row>
    <row r="256" spans="1:26" s="133" customFormat="1" x14ac:dyDescent="0.25">
      <c r="A256" s="209"/>
      <c r="B256" s="161"/>
      <c r="C256" s="105"/>
      <c r="D256" s="105"/>
      <c r="E256" s="105"/>
      <c r="F256" s="105"/>
      <c r="G256" s="105"/>
      <c r="H256" s="105"/>
      <c r="I256" s="105"/>
      <c r="J256" s="105"/>
      <c r="K256" s="136"/>
      <c r="L256" s="105"/>
      <c r="M256" s="105"/>
      <c r="N256" s="105"/>
      <c r="O256" s="105"/>
      <c r="P256" s="135"/>
      <c r="Q256" s="105"/>
      <c r="R256" s="136"/>
      <c r="S256" s="105"/>
      <c r="T256" s="135"/>
      <c r="U256" s="354"/>
      <c r="V256" s="353"/>
      <c r="W256" s="130"/>
      <c r="X256" s="130"/>
      <c r="Y256" s="403"/>
      <c r="Z256" s="404"/>
    </row>
    <row r="257" spans="1:26" s="133" customFormat="1" x14ac:dyDescent="0.25">
      <c r="A257" s="209"/>
      <c r="B257" s="161"/>
      <c r="C257" s="105"/>
      <c r="D257" s="105"/>
      <c r="E257" s="105"/>
      <c r="F257" s="105"/>
      <c r="G257" s="105"/>
      <c r="H257" s="105"/>
      <c r="I257" s="105"/>
      <c r="J257" s="105"/>
      <c r="K257" s="136"/>
      <c r="L257" s="105"/>
      <c r="M257" s="105"/>
      <c r="N257" s="105"/>
      <c r="O257" s="105"/>
      <c r="P257" s="135"/>
      <c r="Q257" s="105"/>
      <c r="R257" s="136"/>
      <c r="S257" s="105"/>
      <c r="T257" s="135"/>
      <c r="U257" s="354"/>
      <c r="V257" s="353"/>
      <c r="W257" s="130"/>
      <c r="X257" s="130"/>
      <c r="Y257" s="403"/>
      <c r="Z257" s="404"/>
    </row>
    <row r="258" spans="1:26" s="133" customFormat="1" x14ac:dyDescent="0.25">
      <c r="A258" s="209"/>
      <c r="B258" s="161"/>
      <c r="C258" s="105"/>
      <c r="D258" s="105"/>
      <c r="E258" s="105"/>
      <c r="F258" s="105"/>
      <c r="G258" s="105"/>
      <c r="H258" s="105"/>
      <c r="I258" s="105"/>
      <c r="J258" s="105"/>
      <c r="K258" s="136"/>
      <c r="L258" s="105"/>
      <c r="M258" s="105"/>
      <c r="N258" s="105"/>
      <c r="O258" s="105"/>
      <c r="P258" s="135"/>
      <c r="Q258" s="105"/>
      <c r="R258" s="136"/>
      <c r="S258" s="105"/>
      <c r="T258" s="135"/>
      <c r="U258" s="354"/>
      <c r="V258" s="353"/>
      <c r="W258" s="130"/>
      <c r="X258" s="130"/>
      <c r="Y258" s="403"/>
      <c r="Z258" s="404"/>
    </row>
    <row r="259" spans="1:26" s="133" customFormat="1" x14ac:dyDescent="0.25">
      <c r="A259" s="209"/>
      <c r="B259" s="161"/>
      <c r="C259" s="105"/>
      <c r="D259" s="105"/>
      <c r="E259" s="105"/>
      <c r="F259" s="105"/>
      <c r="G259" s="105"/>
      <c r="H259" s="105"/>
      <c r="I259" s="105"/>
      <c r="J259" s="105"/>
      <c r="K259" s="136"/>
      <c r="L259" s="105"/>
      <c r="M259" s="105"/>
      <c r="N259" s="105"/>
      <c r="O259" s="105"/>
      <c r="P259" s="135"/>
      <c r="Q259" s="105"/>
      <c r="R259" s="136"/>
      <c r="S259" s="105"/>
      <c r="T259" s="135"/>
      <c r="U259" s="354"/>
      <c r="V259" s="353"/>
      <c r="W259" s="130"/>
      <c r="X259" s="130"/>
      <c r="Y259" s="403"/>
      <c r="Z259" s="404"/>
    </row>
    <row r="260" spans="1:26" s="133" customFormat="1" x14ac:dyDescent="0.25">
      <c r="A260" s="209"/>
      <c r="B260" s="161"/>
      <c r="C260" s="105"/>
      <c r="D260" s="105"/>
      <c r="E260" s="105"/>
      <c r="F260" s="105"/>
      <c r="G260" s="105"/>
      <c r="H260" s="105"/>
      <c r="I260" s="105"/>
      <c r="J260" s="105"/>
      <c r="K260" s="136"/>
      <c r="L260" s="105"/>
      <c r="M260" s="105"/>
      <c r="N260" s="105"/>
      <c r="O260" s="105"/>
      <c r="P260" s="135"/>
      <c r="Q260" s="105"/>
      <c r="R260" s="136"/>
      <c r="S260" s="105"/>
      <c r="T260" s="135"/>
      <c r="U260" s="354"/>
      <c r="V260" s="353"/>
      <c r="W260" s="130"/>
      <c r="X260" s="130"/>
      <c r="Y260" s="403"/>
      <c r="Z260" s="404"/>
    </row>
    <row r="261" spans="1:26" s="133" customFormat="1" x14ac:dyDescent="0.25">
      <c r="A261" s="209"/>
      <c r="B261" s="161"/>
      <c r="C261" s="105"/>
      <c r="D261" s="105"/>
      <c r="E261" s="105"/>
      <c r="F261" s="105"/>
      <c r="G261" s="105"/>
      <c r="H261" s="105"/>
      <c r="I261" s="105"/>
      <c r="J261" s="105"/>
      <c r="K261" s="136"/>
      <c r="L261" s="105"/>
      <c r="M261" s="105"/>
      <c r="N261" s="105"/>
      <c r="O261" s="105"/>
      <c r="P261" s="135"/>
      <c r="Q261" s="105"/>
      <c r="R261" s="136"/>
      <c r="S261" s="105"/>
      <c r="T261" s="135"/>
      <c r="U261" s="354"/>
      <c r="V261" s="353"/>
      <c r="W261" s="130"/>
      <c r="X261" s="130"/>
      <c r="Y261" s="403"/>
      <c r="Z261" s="404"/>
    </row>
    <row r="262" spans="1:26" s="133" customFormat="1" x14ac:dyDescent="0.25">
      <c r="A262" s="209"/>
      <c r="B262" s="161"/>
      <c r="C262" s="105"/>
      <c r="D262" s="105"/>
      <c r="E262" s="105"/>
      <c r="F262" s="105"/>
      <c r="G262" s="105"/>
      <c r="H262" s="105"/>
      <c r="I262" s="105"/>
      <c r="J262" s="105"/>
      <c r="K262" s="136"/>
      <c r="L262" s="105"/>
      <c r="M262" s="105"/>
      <c r="N262" s="105"/>
      <c r="O262" s="105"/>
      <c r="P262" s="135"/>
      <c r="Q262" s="105"/>
      <c r="R262" s="136"/>
      <c r="S262" s="105"/>
      <c r="T262" s="135"/>
      <c r="U262" s="354"/>
      <c r="V262" s="353"/>
      <c r="W262" s="130"/>
      <c r="X262" s="130"/>
      <c r="Y262" s="403"/>
      <c r="Z262" s="404"/>
    </row>
    <row r="263" spans="1:26" s="133" customFormat="1" x14ac:dyDescent="0.25">
      <c r="A263" s="209"/>
      <c r="B263" s="161"/>
      <c r="C263" s="105"/>
      <c r="D263" s="105"/>
      <c r="E263" s="105"/>
      <c r="F263" s="105"/>
      <c r="G263" s="105"/>
      <c r="H263" s="105"/>
      <c r="I263" s="105"/>
      <c r="J263" s="105"/>
      <c r="K263" s="136"/>
      <c r="L263" s="105"/>
      <c r="M263" s="105"/>
      <c r="N263" s="105"/>
      <c r="O263" s="105"/>
      <c r="P263" s="135"/>
      <c r="Q263" s="105"/>
      <c r="R263" s="136"/>
      <c r="S263" s="105"/>
      <c r="T263" s="135"/>
      <c r="U263" s="354"/>
      <c r="V263" s="353"/>
      <c r="W263" s="130"/>
      <c r="X263" s="130"/>
      <c r="Y263" s="403"/>
      <c r="Z263" s="404"/>
    </row>
    <row r="264" spans="1:26" s="133" customFormat="1" x14ac:dyDescent="0.25">
      <c r="A264" s="209"/>
      <c r="B264" s="161"/>
      <c r="C264" s="105"/>
      <c r="D264" s="105"/>
      <c r="E264" s="105"/>
      <c r="F264" s="105"/>
      <c r="G264" s="105"/>
      <c r="H264" s="105"/>
      <c r="I264" s="105"/>
      <c r="J264" s="105"/>
      <c r="K264" s="136"/>
      <c r="L264" s="105"/>
      <c r="M264" s="105"/>
      <c r="N264" s="105"/>
      <c r="O264" s="105"/>
      <c r="P264" s="135"/>
      <c r="Q264" s="105"/>
      <c r="R264" s="136"/>
      <c r="S264" s="105"/>
      <c r="T264" s="135"/>
      <c r="U264" s="354"/>
      <c r="V264" s="353"/>
      <c r="W264" s="130"/>
      <c r="X264" s="130"/>
      <c r="Y264" s="403"/>
      <c r="Z264" s="404"/>
    </row>
    <row r="265" spans="1:26" s="133" customFormat="1" x14ac:dyDescent="0.25">
      <c r="A265" s="209"/>
      <c r="B265" s="161"/>
      <c r="C265" s="105"/>
      <c r="D265" s="105"/>
      <c r="E265" s="105"/>
      <c r="F265" s="105"/>
      <c r="G265" s="105"/>
      <c r="H265" s="105"/>
      <c r="I265" s="105"/>
      <c r="J265" s="105"/>
      <c r="K265" s="136"/>
      <c r="L265" s="105"/>
      <c r="M265" s="105"/>
      <c r="N265" s="105"/>
      <c r="O265" s="105"/>
      <c r="P265" s="135"/>
      <c r="Q265" s="105"/>
      <c r="R265" s="136"/>
      <c r="S265" s="105"/>
      <c r="T265" s="135"/>
      <c r="U265" s="354"/>
      <c r="V265" s="353"/>
      <c r="W265" s="130"/>
      <c r="X265" s="130"/>
      <c r="Y265" s="403"/>
      <c r="Z265" s="404"/>
    </row>
    <row r="266" spans="1:26" s="133" customFormat="1" x14ac:dyDescent="0.25">
      <c r="A266" s="209"/>
      <c r="B266" s="161"/>
      <c r="C266" s="105"/>
      <c r="D266" s="105"/>
      <c r="E266" s="105"/>
      <c r="F266" s="105"/>
      <c r="G266" s="105"/>
      <c r="H266" s="105"/>
      <c r="I266" s="105"/>
      <c r="J266" s="105"/>
      <c r="K266" s="136"/>
      <c r="L266" s="105"/>
      <c r="M266" s="105"/>
      <c r="N266" s="105"/>
      <c r="O266" s="105"/>
      <c r="P266" s="135"/>
      <c r="Q266" s="105"/>
      <c r="R266" s="136"/>
      <c r="S266" s="105"/>
      <c r="T266" s="135"/>
      <c r="U266" s="354"/>
      <c r="V266" s="353"/>
      <c r="W266" s="130"/>
      <c r="X266" s="130"/>
      <c r="Y266" s="403"/>
      <c r="Z266" s="404"/>
    </row>
    <row r="267" spans="1:26" s="133" customFormat="1" x14ac:dyDescent="0.25">
      <c r="A267" s="209"/>
      <c r="B267" s="161"/>
      <c r="C267" s="105"/>
      <c r="D267" s="105"/>
      <c r="E267" s="105"/>
      <c r="F267" s="105"/>
      <c r="G267" s="105"/>
      <c r="H267" s="105"/>
      <c r="I267" s="105"/>
      <c r="J267" s="105"/>
      <c r="K267" s="136"/>
      <c r="L267" s="105"/>
      <c r="M267" s="105"/>
      <c r="N267" s="105"/>
      <c r="O267" s="105"/>
      <c r="P267" s="135"/>
      <c r="Q267" s="105"/>
      <c r="R267" s="136"/>
      <c r="S267" s="105"/>
      <c r="T267" s="135"/>
      <c r="U267" s="354"/>
      <c r="V267" s="353"/>
      <c r="W267" s="130"/>
      <c r="X267" s="130"/>
      <c r="Y267" s="403"/>
      <c r="Z267" s="404"/>
    </row>
    <row r="268" spans="1:26" s="133" customFormat="1" x14ac:dyDescent="0.25">
      <c r="A268" s="209"/>
      <c r="B268" s="161"/>
      <c r="C268" s="105"/>
      <c r="D268" s="105"/>
      <c r="E268" s="105"/>
      <c r="F268" s="105"/>
      <c r="G268" s="105"/>
      <c r="H268" s="105"/>
      <c r="I268" s="105"/>
      <c r="J268" s="105"/>
      <c r="K268" s="136"/>
      <c r="L268" s="105"/>
      <c r="M268" s="105"/>
      <c r="N268" s="105"/>
      <c r="O268" s="105"/>
      <c r="P268" s="135"/>
      <c r="Q268" s="105"/>
      <c r="R268" s="136"/>
      <c r="S268" s="105"/>
      <c r="T268" s="135"/>
      <c r="U268" s="354"/>
      <c r="V268" s="353"/>
      <c r="W268" s="130"/>
      <c r="X268" s="130"/>
      <c r="Y268" s="403"/>
      <c r="Z268" s="404"/>
    </row>
    <row r="269" spans="1:26" s="133" customFormat="1" x14ac:dyDescent="0.25">
      <c r="A269" s="209"/>
      <c r="B269" s="161"/>
      <c r="C269" s="105"/>
      <c r="D269" s="105"/>
      <c r="E269" s="105"/>
      <c r="F269" s="105"/>
      <c r="G269" s="105"/>
      <c r="H269" s="105"/>
      <c r="I269" s="105"/>
      <c r="J269" s="105"/>
      <c r="K269" s="136"/>
      <c r="L269" s="105"/>
      <c r="M269" s="105"/>
      <c r="N269" s="105"/>
      <c r="O269" s="105"/>
      <c r="P269" s="135"/>
      <c r="Q269" s="105"/>
      <c r="R269" s="136"/>
      <c r="S269" s="105"/>
      <c r="T269" s="135"/>
      <c r="U269" s="354"/>
      <c r="V269" s="353"/>
      <c r="W269" s="130"/>
      <c r="X269" s="130"/>
      <c r="Y269" s="403"/>
      <c r="Z269" s="404"/>
    </row>
    <row r="270" spans="1:26" s="133" customFormat="1" x14ac:dyDescent="0.25">
      <c r="A270" s="209"/>
      <c r="B270" s="161"/>
      <c r="C270" s="105"/>
      <c r="D270" s="105"/>
      <c r="E270" s="105"/>
      <c r="F270" s="105"/>
      <c r="G270" s="105"/>
      <c r="H270" s="105"/>
      <c r="I270" s="105"/>
      <c r="J270" s="105"/>
      <c r="K270" s="136"/>
      <c r="L270" s="105"/>
      <c r="M270" s="105"/>
      <c r="N270" s="105"/>
      <c r="O270" s="105"/>
      <c r="P270" s="135"/>
      <c r="Q270" s="105"/>
      <c r="R270" s="136"/>
      <c r="S270" s="105"/>
      <c r="T270" s="135"/>
      <c r="U270" s="354"/>
      <c r="V270" s="353"/>
      <c r="W270" s="130"/>
      <c r="X270" s="130"/>
      <c r="Y270" s="403"/>
      <c r="Z270" s="404"/>
    </row>
    <row r="271" spans="1:26" s="133" customFormat="1" x14ac:dyDescent="0.25">
      <c r="A271" s="209"/>
      <c r="B271" s="161"/>
      <c r="C271" s="105"/>
      <c r="D271" s="105"/>
      <c r="E271" s="105"/>
      <c r="F271" s="105"/>
      <c r="G271" s="105"/>
      <c r="H271" s="105"/>
      <c r="I271" s="105"/>
      <c r="J271" s="105"/>
      <c r="K271" s="136"/>
      <c r="L271" s="105"/>
      <c r="M271" s="105"/>
      <c r="N271" s="105"/>
      <c r="O271" s="105"/>
      <c r="P271" s="135"/>
      <c r="Q271" s="105"/>
      <c r="R271" s="136"/>
      <c r="S271" s="105"/>
      <c r="T271" s="135"/>
      <c r="U271" s="354"/>
      <c r="V271" s="353"/>
      <c r="W271" s="130"/>
      <c r="X271" s="130"/>
      <c r="Y271" s="403"/>
      <c r="Z271" s="404"/>
    </row>
    <row r="272" spans="1:26" s="133" customFormat="1" x14ac:dyDescent="0.25">
      <c r="A272" s="209"/>
      <c r="B272" s="161"/>
      <c r="C272" s="105"/>
      <c r="D272" s="105"/>
      <c r="E272" s="105"/>
      <c r="F272" s="105"/>
      <c r="G272" s="105"/>
      <c r="H272" s="105"/>
      <c r="I272" s="105"/>
      <c r="J272" s="105"/>
      <c r="K272" s="136"/>
      <c r="L272" s="105"/>
      <c r="M272" s="105"/>
      <c r="N272" s="105"/>
      <c r="O272" s="105"/>
      <c r="P272" s="135"/>
      <c r="Q272" s="105"/>
      <c r="R272" s="136"/>
      <c r="S272" s="105"/>
      <c r="T272" s="135"/>
      <c r="U272" s="354"/>
      <c r="V272" s="353"/>
      <c r="W272" s="130"/>
      <c r="X272" s="130"/>
      <c r="Y272" s="403"/>
      <c r="Z272" s="404"/>
    </row>
    <row r="273" spans="1:26" s="133" customFormat="1" x14ac:dyDescent="0.25">
      <c r="A273" s="209"/>
      <c r="B273" s="161"/>
      <c r="C273" s="105"/>
      <c r="D273" s="105"/>
      <c r="E273" s="105"/>
      <c r="F273" s="105"/>
      <c r="G273" s="105"/>
      <c r="H273" s="105"/>
      <c r="I273" s="105"/>
      <c r="J273" s="105"/>
      <c r="K273" s="136"/>
      <c r="L273" s="105"/>
      <c r="M273" s="105"/>
      <c r="N273" s="105"/>
      <c r="O273" s="105"/>
      <c r="P273" s="135"/>
      <c r="Q273" s="105"/>
      <c r="R273" s="136"/>
      <c r="S273" s="105"/>
      <c r="T273" s="135"/>
      <c r="U273" s="354"/>
      <c r="V273" s="353"/>
      <c r="W273" s="130"/>
      <c r="X273" s="130"/>
      <c r="Y273" s="403"/>
      <c r="Z273" s="404"/>
    </row>
    <row r="274" spans="1:26" s="133" customFormat="1" x14ac:dyDescent="0.25">
      <c r="A274" s="209"/>
      <c r="B274" s="161"/>
      <c r="C274" s="105"/>
      <c r="D274" s="105"/>
      <c r="E274" s="105"/>
      <c r="F274" s="105"/>
      <c r="G274" s="105"/>
      <c r="H274" s="105"/>
      <c r="I274" s="105"/>
      <c r="J274" s="105"/>
      <c r="K274" s="136"/>
      <c r="L274" s="105"/>
      <c r="M274" s="105"/>
      <c r="N274" s="105"/>
      <c r="O274" s="105"/>
      <c r="P274" s="135"/>
      <c r="Q274" s="105"/>
      <c r="R274" s="136"/>
      <c r="S274" s="105"/>
      <c r="T274" s="135"/>
      <c r="U274" s="354"/>
      <c r="V274" s="353"/>
      <c r="W274" s="130"/>
      <c r="X274" s="130"/>
      <c r="Y274" s="403"/>
      <c r="Z274" s="404"/>
    </row>
    <row r="275" spans="1:26" s="133" customFormat="1" x14ac:dyDescent="0.25">
      <c r="A275" s="209"/>
      <c r="B275" s="161"/>
      <c r="C275" s="105"/>
      <c r="D275" s="105"/>
      <c r="E275" s="105"/>
      <c r="F275" s="105"/>
      <c r="G275" s="105"/>
      <c r="H275" s="105"/>
      <c r="I275" s="105"/>
      <c r="J275" s="105"/>
      <c r="K275" s="136"/>
      <c r="L275" s="105"/>
      <c r="M275" s="105"/>
      <c r="N275" s="105"/>
      <c r="O275" s="105"/>
      <c r="P275" s="135"/>
      <c r="Q275" s="105"/>
      <c r="R275" s="136"/>
      <c r="S275" s="105"/>
      <c r="T275" s="135"/>
      <c r="U275" s="354"/>
      <c r="V275" s="353"/>
      <c r="W275" s="130"/>
      <c r="X275" s="130"/>
      <c r="Y275" s="403"/>
      <c r="Z275" s="404"/>
    </row>
    <row r="276" spans="1:26" s="133" customFormat="1" x14ac:dyDescent="0.25">
      <c r="A276" s="209"/>
      <c r="B276" s="161"/>
      <c r="C276" s="105"/>
      <c r="D276" s="105"/>
      <c r="E276" s="105"/>
      <c r="F276" s="105"/>
      <c r="G276" s="105"/>
      <c r="H276" s="105"/>
      <c r="I276" s="105"/>
      <c r="J276" s="105"/>
      <c r="K276" s="136"/>
      <c r="L276" s="105"/>
      <c r="M276" s="105"/>
      <c r="N276" s="105"/>
      <c r="O276" s="105"/>
      <c r="P276" s="135"/>
      <c r="Q276" s="105"/>
      <c r="R276" s="136"/>
      <c r="S276" s="105"/>
      <c r="T276" s="135"/>
      <c r="U276" s="354"/>
      <c r="V276" s="353"/>
      <c r="W276" s="130"/>
      <c r="X276" s="130"/>
      <c r="Y276" s="403"/>
      <c r="Z276" s="404"/>
    </row>
    <row r="277" spans="1:26" s="133" customFormat="1" x14ac:dyDescent="0.25">
      <c r="A277" s="209"/>
      <c r="B277" s="161"/>
      <c r="C277" s="105"/>
      <c r="D277" s="105"/>
      <c r="E277" s="105"/>
      <c r="F277" s="105"/>
      <c r="G277" s="105"/>
      <c r="H277" s="105"/>
      <c r="I277" s="105"/>
      <c r="J277" s="105"/>
      <c r="K277" s="136"/>
      <c r="L277" s="105"/>
      <c r="M277" s="105"/>
      <c r="N277" s="105"/>
      <c r="O277" s="105"/>
      <c r="P277" s="135"/>
      <c r="Q277" s="105"/>
      <c r="R277" s="136"/>
      <c r="S277" s="105"/>
      <c r="T277" s="135"/>
      <c r="U277" s="354"/>
      <c r="V277" s="353"/>
      <c r="W277" s="130"/>
      <c r="X277" s="130"/>
      <c r="Y277" s="403"/>
      <c r="Z277" s="404"/>
    </row>
    <row r="278" spans="1:26" s="133" customFormat="1" x14ac:dyDescent="0.25">
      <c r="A278" s="209"/>
      <c r="B278" s="161"/>
      <c r="C278" s="105"/>
      <c r="D278" s="105"/>
      <c r="E278" s="105"/>
      <c r="F278" s="105"/>
      <c r="G278" s="105"/>
      <c r="H278" s="105"/>
      <c r="I278" s="105"/>
      <c r="J278" s="105"/>
      <c r="K278" s="136"/>
      <c r="L278" s="105"/>
      <c r="M278" s="105"/>
      <c r="N278" s="105"/>
      <c r="O278" s="105"/>
      <c r="P278" s="135"/>
      <c r="Q278" s="105"/>
      <c r="R278" s="136"/>
      <c r="S278" s="105"/>
      <c r="T278" s="135"/>
      <c r="U278" s="354"/>
      <c r="V278" s="353"/>
      <c r="W278" s="130"/>
      <c r="X278" s="130"/>
      <c r="Y278" s="403"/>
      <c r="Z278" s="404"/>
    </row>
    <row r="279" spans="1:26" s="133" customFormat="1" x14ac:dyDescent="0.25">
      <c r="A279" s="209"/>
      <c r="B279" s="161"/>
      <c r="C279" s="105"/>
      <c r="D279" s="105"/>
      <c r="E279" s="105"/>
      <c r="F279" s="105"/>
      <c r="G279" s="105"/>
      <c r="H279" s="105"/>
      <c r="I279" s="105"/>
      <c r="J279" s="105"/>
      <c r="K279" s="136"/>
      <c r="L279" s="105"/>
      <c r="M279" s="105"/>
      <c r="N279" s="105"/>
      <c r="O279" s="105"/>
      <c r="P279" s="135"/>
      <c r="Q279" s="105"/>
      <c r="R279" s="136"/>
      <c r="S279" s="105"/>
      <c r="T279" s="135"/>
      <c r="U279" s="354"/>
      <c r="V279" s="353"/>
      <c r="W279" s="130"/>
      <c r="X279" s="130"/>
      <c r="Y279" s="403"/>
      <c r="Z279" s="404"/>
    </row>
    <row r="280" spans="1:26" s="133" customFormat="1" x14ac:dyDescent="0.25">
      <c r="A280" s="209"/>
      <c r="B280" s="161"/>
      <c r="C280" s="105"/>
      <c r="D280" s="105"/>
      <c r="E280" s="105"/>
      <c r="F280" s="105"/>
      <c r="G280" s="105"/>
      <c r="H280" s="105"/>
      <c r="I280" s="105"/>
      <c r="J280" s="105"/>
      <c r="K280" s="136"/>
      <c r="L280" s="105"/>
      <c r="M280" s="105"/>
      <c r="N280" s="105"/>
      <c r="O280" s="105"/>
      <c r="P280" s="135"/>
      <c r="Q280" s="105"/>
      <c r="R280" s="136"/>
      <c r="S280" s="105"/>
      <c r="T280" s="135"/>
      <c r="U280" s="354"/>
      <c r="V280" s="353"/>
      <c r="W280" s="130"/>
      <c r="X280" s="130"/>
      <c r="Y280" s="403"/>
      <c r="Z280" s="404"/>
    </row>
    <row r="281" spans="1:26" s="133" customFormat="1" x14ac:dyDescent="0.25">
      <c r="A281" s="209"/>
      <c r="B281" s="161"/>
      <c r="C281" s="105"/>
      <c r="D281" s="105"/>
      <c r="E281" s="105"/>
      <c r="F281" s="105"/>
      <c r="G281" s="105"/>
      <c r="H281" s="105"/>
      <c r="I281" s="105"/>
      <c r="J281" s="105"/>
      <c r="K281" s="136"/>
      <c r="L281" s="105"/>
      <c r="M281" s="105"/>
      <c r="N281" s="105"/>
      <c r="O281" s="105"/>
      <c r="P281" s="135"/>
      <c r="Q281" s="105"/>
      <c r="R281" s="136"/>
      <c r="S281" s="105"/>
      <c r="T281" s="135"/>
      <c r="U281" s="354"/>
      <c r="V281" s="353"/>
      <c r="W281" s="130"/>
      <c r="X281" s="130"/>
      <c r="Y281" s="403"/>
      <c r="Z281" s="404"/>
    </row>
    <row r="282" spans="1:26" s="133" customFormat="1" x14ac:dyDescent="0.25">
      <c r="A282" s="209"/>
      <c r="B282" s="161"/>
      <c r="C282" s="105"/>
      <c r="D282" s="105"/>
      <c r="E282" s="105"/>
      <c r="F282" s="105"/>
      <c r="G282" s="105"/>
      <c r="H282" s="105"/>
      <c r="I282" s="105"/>
      <c r="J282" s="105"/>
      <c r="K282" s="136"/>
      <c r="L282" s="105"/>
      <c r="M282" s="105"/>
      <c r="N282" s="105"/>
      <c r="O282" s="105"/>
      <c r="P282" s="135"/>
      <c r="Q282" s="105"/>
      <c r="R282" s="136"/>
      <c r="S282" s="105"/>
      <c r="T282" s="135"/>
      <c r="U282" s="354"/>
      <c r="V282" s="353"/>
      <c r="W282" s="130"/>
      <c r="X282" s="130"/>
      <c r="Y282" s="403"/>
      <c r="Z282" s="404"/>
    </row>
    <row r="283" spans="1:26" s="133" customFormat="1" x14ac:dyDescent="0.25">
      <c r="A283" s="209"/>
      <c r="B283" s="161"/>
      <c r="C283" s="105"/>
      <c r="D283" s="105"/>
      <c r="E283" s="105"/>
      <c r="F283" s="105"/>
      <c r="G283" s="105"/>
      <c r="H283" s="105"/>
      <c r="I283" s="105"/>
      <c r="J283" s="105"/>
      <c r="K283" s="136"/>
      <c r="L283" s="105"/>
      <c r="M283" s="105"/>
      <c r="N283" s="105"/>
      <c r="O283" s="105"/>
      <c r="P283" s="135"/>
      <c r="Q283" s="105"/>
      <c r="R283" s="136"/>
      <c r="S283" s="105"/>
      <c r="T283" s="135"/>
      <c r="U283" s="354"/>
      <c r="V283" s="353"/>
      <c r="W283" s="130"/>
      <c r="X283" s="130"/>
      <c r="Y283" s="403"/>
      <c r="Z283" s="404"/>
    </row>
    <row r="284" spans="1:26" s="133" customFormat="1" x14ac:dyDescent="0.25">
      <c r="A284" s="209"/>
      <c r="B284" s="161"/>
      <c r="C284" s="105"/>
      <c r="D284" s="105"/>
      <c r="E284" s="105"/>
      <c r="F284" s="105"/>
      <c r="G284" s="105"/>
      <c r="H284" s="105"/>
      <c r="I284" s="105"/>
      <c r="J284" s="105"/>
      <c r="K284" s="136"/>
      <c r="L284" s="105"/>
      <c r="M284" s="105"/>
      <c r="N284" s="105"/>
      <c r="O284" s="105"/>
      <c r="P284" s="135"/>
      <c r="Q284" s="105"/>
      <c r="R284" s="136"/>
      <c r="S284" s="105"/>
      <c r="T284" s="135"/>
      <c r="U284" s="354"/>
      <c r="V284" s="353"/>
      <c r="W284" s="130"/>
      <c r="X284" s="130"/>
      <c r="Y284" s="403"/>
      <c r="Z284" s="404"/>
    </row>
    <row r="285" spans="1:26" s="133" customFormat="1" x14ac:dyDescent="0.25">
      <c r="A285" s="209"/>
      <c r="B285" s="161"/>
      <c r="C285" s="105"/>
      <c r="D285" s="105"/>
      <c r="E285" s="105"/>
      <c r="F285" s="105"/>
      <c r="G285" s="105"/>
      <c r="H285" s="105"/>
      <c r="I285" s="105"/>
      <c r="J285" s="105"/>
      <c r="K285" s="136"/>
      <c r="L285" s="105"/>
      <c r="M285" s="105"/>
      <c r="N285" s="105"/>
      <c r="O285" s="105"/>
      <c r="P285" s="135"/>
      <c r="Q285" s="105"/>
      <c r="R285" s="136"/>
      <c r="S285" s="105"/>
      <c r="T285" s="135"/>
      <c r="U285" s="354"/>
      <c r="V285" s="353"/>
      <c r="W285" s="130"/>
      <c r="X285" s="130"/>
      <c r="Y285" s="403"/>
      <c r="Z285" s="404"/>
    </row>
    <row r="286" spans="1:26" s="133" customFormat="1" x14ac:dyDescent="0.25">
      <c r="A286" s="209"/>
      <c r="B286" s="161"/>
      <c r="C286" s="105"/>
      <c r="D286" s="105"/>
      <c r="E286" s="105"/>
      <c r="F286" s="105"/>
      <c r="G286" s="105"/>
      <c r="H286" s="105"/>
      <c r="I286" s="105"/>
      <c r="J286" s="105"/>
      <c r="K286" s="136"/>
      <c r="L286" s="105"/>
      <c r="M286" s="105"/>
      <c r="N286" s="105"/>
      <c r="O286" s="105"/>
      <c r="P286" s="135"/>
      <c r="Q286" s="105"/>
      <c r="R286" s="136"/>
      <c r="S286" s="105"/>
      <c r="T286" s="135"/>
      <c r="U286" s="354"/>
      <c r="V286" s="353"/>
      <c r="W286" s="130"/>
      <c r="X286" s="130"/>
      <c r="Y286" s="403"/>
      <c r="Z286" s="404"/>
    </row>
    <row r="287" spans="1:26" s="133" customFormat="1" x14ac:dyDescent="0.25">
      <c r="A287" s="209"/>
      <c r="B287" s="161"/>
      <c r="C287" s="105"/>
      <c r="D287" s="105"/>
      <c r="E287" s="105"/>
      <c r="F287" s="105"/>
      <c r="G287" s="105"/>
      <c r="H287" s="105"/>
      <c r="I287" s="105"/>
      <c r="J287" s="105"/>
      <c r="K287" s="136"/>
      <c r="L287" s="105"/>
      <c r="M287" s="105"/>
      <c r="N287" s="105"/>
      <c r="O287" s="105"/>
      <c r="P287" s="135"/>
      <c r="Q287" s="105"/>
      <c r="R287" s="136"/>
      <c r="S287" s="105"/>
      <c r="T287" s="135"/>
      <c r="U287" s="354"/>
      <c r="V287" s="353"/>
      <c r="W287" s="130"/>
      <c r="X287" s="130"/>
      <c r="Y287" s="403"/>
      <c r="Z287" s="404"/>
    </row>
    <row r="288" spans="1:26" s="133" customFormat="1" x14ac:dyDescent="0.25">
      <c r="A288" s="209"/>
      <c r="B288" s="161"/>
      <c r="C288" s="105"/>
      <c r="D288" s="105"/>
      <c r="E288" s="105"/>
      <c r="F288" s="105"/>
      <c r="G288" s="105"/>
      <c r="H288" s="105"/>
      <c r="I288" s="105"/>
      <c r="J288" s="105"/>
      <c r="K288" s="136"/>
      <c r="L288" s="105"/>
      <c r="M288" s="105"/>
      <c r="N288" s="105"/>
      <c r="O288" s="105"/>
      <c r="P288" s="135"/>
      <c r="Q288" s="105"/>
      <c r="R288" s="136"/>
      <c r="S288" s="105"/>
      <c r="T288" s="135"/>
      <c r="U288" s="354"/>
      <c r="V288" s="353"/>
      <c r="W288" s="130"/>
      <c r="X288" s="130"/>
      <c r="Y288" s="403"/>
      <c r="Z288" s="404"/>
    </row>
    <row r="289" spans="1:26" s="133" customFormat="1" x14ac:dyDescent="0.25">
      <c r="A289" s="209"/>
      <c r="B289" s="161"/>
      <c r="C289" s="105"/>
      <c r="D289" s="105"/>
      <c r="E289" s="105"/>
      <c r="F289" s="105"/>
      <c r="G289" s="105"/>
      <c r="H289" s="105"/>
      <c r="I289" s="105"/>
      <c r="J289" s="105"/>
      <c r="K289" s="136"/>
      <c r="L289" s="105"/>
      <c r="M289" s="105"/>
      <c r="N289" s="105"/>
      <c r="O289" s="105"/>
      <c r="P289" s="135"/>
      <c r="Q289" s="105"/>
      <c r="R289" s="136"/>
      <c r="S289" s="105"/>
      <c r="T289" s="135"/>
      <c r="U289" s="354"/>
      <c r="V289" s="353"/>
      <c r="W289" s="130"/>
      <c r="X289" s="130"/>
      <c r="Y289" s="403"/>
      <c r="Z289" s="404"/>
    </row>
    <row r="290" spans="1:26" s="133" customFormat="1" x14ac:dyDescent="0.25">
      <c r="A290" s="209"/>
      <c r="B290" s="161"/>
      <c r="C290" s="105"/>
      <c r="D290" s="105"/>
      <c r="E290" s="105"/>
      <c r="F290" s="105"/>
      <c r="G290" s="105"/>
      <c r="H290" s="105"/>
      <c r="I290" s="105"/>
      <c r="J290" s="105"/>
      <c r="K290" s="136"/>
      <c r="L290" s="105"/>
      <c r="M290" s="105"/>
      <c r="N290" s="105"/>
      <c r="O290" s="105"/>
      <c r="P290" s="135"/>
      <c r="Q290" s="105"/>
      <c r="R290" s="136"/>
      <c r="S290" s="105"/>
      <c r="T290" s="135"/>
      <c r="U290" s="354"/>
      <c r="V290" s="353"/>
      <c r="W290" s="130"/>
      <c r="X290" s="130"/>
      <c r="Y290" s="403"/>
      <c r="Z290" s="404"/>
    </row>
    <row r="291" spans="1:26" s="133" customFormat="1" x14ac:dyDescent="0.25">
      <c r="A291" s="209"/>
      <c r="B291" s="161"/>
      <c r="C291" s="105"/>
      <c r="D291" s="105"/>
      <c r="E291" s="105"/>
      <c r="F291" s="105"/>
      <c r="G291" s="105"/>
      <c r="H291" s="105"/>
      <c r="I291" s="105"/>
      <c r="J291" s="105"/>
      <c r="K291" s="136"/>
      <c r="L291" s="105"/>
      <c r="M291" s="105"/>
      <c r="N291" s="105"/>
      <c r="O291" s="105"/>
      <c r="P291" s="135"/>
      <c r="Q291" s="105"/>
      <c r="R291" s="136"/>
      <c r="S291" s="105"/>
      <c r="T291" s="135"/>
      <c r="U291" s="354"/>
      <c r="V291" s="353"/>
      <c r="W291" s="130"/>
      <c r="X291" s="130"/>
      <c r="Y291" s="403"/>
      <c r="Z291" s="404"/>
    </row>
    <row r="292" spans="1:26" s="133" customFormat="1" x14ac:dyDescent="0.25">
      <c r="A292" s="209"/>
      <c r="B292" s="161"/>
      <c r="C292" s="105"/>
      <c r="D292" s="105"/>
      <c r="E292" s="105"/>
      <c r="F292" s="105"/>
      <c r="G292" s="105"/>
      <c r="H292" s="105"/>
      <c r="I292" s="105"/>
      <c r="J292" s="105"/>
      <c r="K292" s="136"/>
      <c r="L292" s="105"/>
      <c r="M292" s="105"/>
      <c r="N292" s="105"/>
      <c r="O292" s="105"/>
      <c r="P292" s="135"/>
      <c r="Q292" s="105"/>
      <c r="R292" s="136"/>
      <c r="S292" s="105"/>
      <c r="T292" s="135"/>
      <c r="U292" s="354"/>
      <c r="V292" s="353"/>
      <c r="W292" s="130"/>
      <c r="X292" s="130"/>
      <c r="Y292" s="403"/>
      <c r="Z292" s="404"/>
    </row>
    <row r="293" spans="1:26" s="133" customFormat="1" x14ac:dyDescent="0.25">
      <c r="A293" s="209"/>
      <c r="B293" s="161"/>
      <c r="C293" s="105"/>
      <c r="D293" s="105"/>
      <c r="E293" s="105"/>
      <c r="F293" s="105"/>
      <c r="G293" s="105"/>
      <c r="H293" s="105"/>
      <c r="I293" s="105"/>
      <c r="J293" s="105"/>
      <c r="K293" s="136"/>
      <c r="L293" s="105"/>
      <c r="M293" s="105"/>
      <c r="N293" s="105"/>
      <c r="O293" s="105"/>
      <c r="P293" s="135"/>
      <c r="Q293" s="105"/>
      <c r="R293" s="136"/>
      <c r="S293" s="105"/>
      <c r="T293" s="135"/>
      <c r="U293" s="354"/>
      <c r="V293" s="353"/>
      <c r="W293" s="130"/>
      <c r="X293" s="130"/>
      <c r="Y293" s="403"/>
      <c r="Z293" s="404"/>
    </row>
    <row r="294" spans="1:26" s="133" customFormat="1" x14ac:dyDescent="0.25">
      <c r="A294" s="209"/>
      <c r="B294" s="161"/>
      <c r="C294" s="105"/>
      <c r="D294" s="105"/>
      <c r="E294" s="105"/>
      <c r="F294" s="105"/>
      <c r="G294" s="105"/>
      <c r="H294" s="105"/>
      <c r="I294" s="105"/>
      <c r="J294" s="105"/>
      <c r="K294" s="136"/>
      <c r="L294" s="105"/>
      <c r="M294" s="105"/>
      <c r="N294" s="105"/>
      <c r="O294" s="105"/>
      <c r="P294" s="135"/>
      <c r="Q294" s="105"/>
      <c r="R294" s="136"/>
      <c r="S294" s="105"/>
      <c r="T294" s="135"/>
      <c r="U294" s="354"/>
      <c r="V294" s="353"/>
      <c r="W294" s="130"/>
      <c r="X294" s="130"/>
      <c r="Y294" s="403"/>
      <c r="Z294" s="404"/>
    </row>
    <row r="295" spans="1:26" s="133" customFormat="1" x14ac:dyDescent="0.25">
      <c r="A295" s="209"/>
      <c r="B295" s="161"/>
      <c r="C295" s="105"/>
      <c r="D295" s="105"/>
      <c r="E295" s="105"/>
      <c r="F295" s="105"/>
      <c r="G295" s="105"/>
      <c r="H295" s="105"/>
      <c r="I295" s="105"/>
      <c r="J295" s="105"/>
      <c r="K295" s="136"/>
      <c r="L295" s="105"/>
      <c r="M295" s="105"/>
      <c r="N295" s="105"/>
      <c r="O295" s="105"/>
      <c r="P295" s="135"/>
      <c r="Q295" s="105"/>
      <c r="R295" s="136"/>
      <c r="S295" s="105"/>
      <c r="T295" s="135"/>
      <c r="U295" s="354"/>
      <c r="V295" s="353"/>
      <c r="W295" s="130"/>
      <c r="X295" s="130"/>
      <c r="Y295" s="403"/>
      <c r="Z295" s="404"/>
    </row>
    <row r="296" spans="1:26" s="133" customFormat="1" x14ac:dyDescent="0.25">
      <c r="A296" s="209"/>
      <c r="B296" s="161"/>
      <c r="C296" s="105"/>
      <c r="D296" s="105"/>
      <c r="E296" s="105"/>
      <c r="F296" s="105"/>
      <c r="G296" s="105"/>
      <c r="H296" s="105"/>
      <c r="I296" s="105"/>
      <c r="J296" s="105"/>
      <c r="K296" s="136"/>
      <c r="L296" s="105"/>
      <c r="M296" s="105"/>
      <c r="N296" s="105"/>
      <c r="O296" s="105"/>
      <c r="P296" s="135"/>
      <c r="Q296" s="105"/>
      <c r="R296" s="136"/>
      <c r="S296" s="105"/>
      <c r="T296" s="135"/>
      <c r="U296" s="354"/>
      <c r="V296" s="353"/>
      <c r="W296" s="130"/>
      <c r="X296" s="130"/>
      <c r="Y296" s="403"/>
      <c r="Z296" s="404"/>
    </row>
    <row r="297" spans="1:26" s="133" customFormat="1" x14ac:dyDescent="0.25">
      <c r="A297" s="209"/>
      <c r="B297" s="161"/>
      <c r="C297" s="105"/>
      <c r="D297" s="105"/>
      <c r="E297" s="105"/>
      <c r="F297" s="105"/>
      <c r="G297" s="105"/>
      <c r="H297" s="105"/>
      <c r="I297" s="105"/>
      <c r="J297" s="105"/>
      <c r="K297" s="136"/>
      <c r="L297" s="105"/>
      <c r="M297" s="105"/>
      <c r="N297" s="105"/>
      <c r="O297" s="105"/>
      <c r="P297" s="135"/>
      <c r="Q297" s="105"/>
      <c r="R297" s="136"/>
      <c r="S297" s="105"/>
      <c r="T297" s="135"/>
      <c r="U297" s="354"/>
      <c r="V297" s="353"/>
      <c r="W297" s="130"/>
      <c r="X297" s="130"/>
      <c r="Y297" s="403"/>
      <c r="Z297" s="404"/>
    </row>
    <row r="298" spans="1:26" s="133" customFormat="1" x14ac:dyDescent="0.25">
      <c r="A298" s="209"/>
      <c r="B298" s="161"/>
      <c r="C298" s="105"/>
      <c r="D298" s="105"/>
      <c r="E298" s="105"/>
      <c r="F298" s="105"/>
      <c r="G298" s="105"/>
      <c r="H298" s="105"/>
      <c r="I298" s="105"/>
      <c r="J298" s="105"/>
      <c r="K298" s="136"/>
      <c r="L298" s="105"/>
      <c r="M298" s="105"/>
      <c r="N298" s="105"/>
      <c r="O298" s="105"/>
      <c r="P298" s="135"/>
      <c r="Q298" s="105"/>
      <c r="R298" s="136"/>
      <c r="S298" s="105"/>
      <c r="T298" s="135"/>
      <c r="U298" s="354"/>
      <c r="V298" s="353"/>
      <c r="W298" s="130"/>
      <c r="X298" s="130"/>
      <c r="Y298" s="403"/>
      <c r="Z298" s="404"/>
    </row>
    <row r="299" spans="1:26" s="133" customFormat="1" x14ac:dyDescent="0.25">
      <c r="A299" s="209"/>
      <c r="B299" s="161"/>
      <c r="C299" s="105"/>
      <c r="D299" s="105"/>
      <c r="E299" s="105"/>
      <c r="F299" s="105"/>
      <c r="G299" s="105"/>
      <c r="H299" s="105"/>
      <c r="I299" s="105"/>
      <c r="J299" s="105"/>
      <c r="K299" s="136"/>
      <c r="L299" s="105"/>
      <c r="M299" s="105"/>
      <c r="N299" s="105"/>
      <c r="O299" s="105"/>
      <c r="P299" s="135"/>
      <c r="Q299" s="105"/>
      <c r="R299" s="136"/>
      <c r="S299" s="105"/>
      <c r="T299" s="135"/>
      <c r="U299" s="354"/>
      <c r="V299" s="353"/>
      <c r="W299" s="130"/>
      <c r="X299" s="130"/>
      <c r="Y299" s="403"/>
      <c r="Z299" s="404"/>
    </row>
    <row r="300" spans="1:26" s="133" customFormat="1" x14ac:dyDescent="0.25">
      <c r="A300" s="209"/>
      <c r="B300" s="161"/>
      <c r="C300" s="105"/>
      <c r="D300" s="105"/>
      <c r="E300" s="105"/>
      <c r="F300" s="105"/>
      <c r="G300" s="105"/>
      <c r="H300" s="105"/>
      <c r="I300" s="105"/>
      <c r="J300" s="105"/>
      <c r="K300" s="136"/>
      <c r="L300" s="105"/>
      <c r="M300" s="105"/>
      <c r="N300" s="105"/>
      <c r="O300" s="105"/>
      <c r="P300" s="135"/>
      <c r="Q300" s="105"/>
      <c r="R300" s="136"/>
      <c r="S300" s="105"/>
      <c r="T300" s="135"/>
      <c r="U300" s="354"/>
      <c r="V300" s="353"/>
      <c r="W300" s="130"/>
      <c r="X300" s="130"/>
      <c r="Y300" s="403"/>
      <c r="Z300" s="404"/>
    </row>
    <row r="301" spans="1:26" s="133" customFormat="1" x14ac:dyDescent="0.25">
      <c r="A301" s="209"/>
      <c r="B301" s="161"/>
      <c r="C301" s="105"/>
      <c r="D301" s="105"/>
      <c r="E301" s="105"/>
      <c r="F301" s="105"/>
      <c r="G301" s="105"/>
      <c r="H301" s="105"/>
      <c r="I301" s="105"/>
      <c r="J301" s="105"/>
      <c r="K301" s="136"/>
      <c r="L301" s="105"/>
      <c r="M301" s="105"/>
      <c r="N301" s="105"/>
      <c r="O301" s="105"/>
      <c r="P301" s="135"/>
      <c r="Q301" s="105"/>
      <c r="R301" s="136"/>
      <c r="S301" s="105"/>
      <c r="T301" s="135"/>
      <c r="U301" s="354"/>
      <c r="V301" s="353"/>
      <c r="W301" s="130"/>
      <c r="X301" s="130"/>
      <c r="Y301" s="403"/>
      <c r="Z301" s="404"/>
    </row>
    <row r="302" spans="1:26" s="133" customFormat="1" x14ac:dyDescent="0.25">
      <c r="A302" s="209"/>
      <c r="B302" s="161"/>
      <c r="C302" s="105"/>
      <c r="D302" s="105"/>
      <c r="E302" s="105"/>
      <c r="F302" s="105"/>
      <c r="G302" s="105"/>
      <c r="H302" s="105"/>
      <c r="I302" s="105"/>
      <c r="J302" s="105"/>
      <c r="K302" s="136"/>
      <c r="L302" s="105"/>
      <c r="M302" s="105"/>
      <c r="N302" s="105"/>
      <c r="O302" s="105"/>
      <c r="P302" s="135"/>
      <c r="Q302" s="105"/>
      <c r="R302" s="136"/>
      <c r="S302" s="105"/>
      <c r="T302" s="135"/>
      <c r="U302" s="354"/>
      <c r="V302" s="353"/>
      <c r="W302" s="130"/>
      <c r="X302" s="130"/>
      <c r="Y302" s="403"/>
      <c r="Z302" s="404"/>
    </row>
    <row r="303" spans="1:26" s="133" customFormat="1" x14ac:dyDescent="0.25">
      <c r="A303" s="209"/>
      <c r="B303" s="161"/>
      <c r="C303" s="105"/>
      <c r="D303" s="105"/>
      <c r="E303" s="105"/>
      <c r="F303" s="105"/>
      <c r="G303" s="105"/>
      <c r="H303" s="105"/>
      <c r="I303" s="105"/>
      <c r="J303" s="105"/>
      <c r="K303" s="136"/>
      <c r="L303" s="105"/>
      <c r="M303" s="105"/>
      <c r="N303" s="105"/>
      <c r="O303" s="105"/>
      <c r="P303" s="135"/>
      <c r="Q303" s="105"/>
      <c r="R303" s="136"/>
      <c r="S303" s="105"/>
      <c r="T303" s="135"/>
      <c r="U303" s="354"/>
      <c r="V303" s="353"/>
      <c r="W303" s="130"/>
      <c r="X303" s="130"/>
      <c r="Y303" s="403"/>
      <c r="Z303" s="404"/>
    </row>
    <row r="304" spans="1:26" s="133" customFormat="1" x14ac:dyDescent="0.25">
      <c r="A304" s="209"/>
      <c r="B304" s="161"/>
      <c r="C304" s="105"/>
      <c r="D304" s="105"/>
      <c r="E304" s="105"/>
      <c r="F304" s="105"/>
      <c r="G304" s="105"/>
      <c r="H304" s="105"/>
      <c r="I304" s="105"/>
      <c r="J304" s="105"/>
      <c r="K304" s="136"/>
      <c r="L304" s="105"/>
      <c r="M304" s="105"/>
      <c r="N304" s="105"/>
      <c r="O304" s="105"/>
      <c r="P304" s="135"/>
      <c r="Q304" s="105"/>
      <c r="R304" s="136"/>
      <c r="S304" s="105"/>
      <c r="T304" s="135"/>
      <c r="U304" s="354"/>
      <c r="V304" s="353"/>
      <c r="W304" s="130"/>
      <c r="X304" s="130"/>
      <c r="Y304" s="403"/>
      <c r="Z304" s="404"/>
    </row>
    <row r="305" spans="1:26" s="133" customFormat="1" x14ac:dyDescent="0.25">
      <c r="A305" s="209"/>
      <c r="B305" s="161"/>
      <c r="C305" s="105"/>
      <c r="D305" s="105"/>
      <c r="E305" s="105"/>
      <c r="F305" s="105"/>
      <c r="G305" s="105"/>
      <c r="H305" s="105"/>
      <c r="I305" s="105"/>
      <c r="J305" s="105"/>
      <c r="K305" s="136"/>
      <c r="L305" s="105"/>
      <c r="M305" s="105"/>
      <c r="N305" s="105"/>
      <c r="O305" s="105"/>
      <c r="P305" s="135"/>
      <c r="Q305" s="105"/>
      <c r="R305" s="136"/>
      <c r="S305" s="105"/>
      <c r="T305" s="135"/>
      <c r="U305" s="354"/>
      <c r="V305" s="353"/>
      <c r="W305" s="130"/>
      <c r="X305" s="130"/>
      <c r="Y305" s="403"/>
      <c r="Z305" s="404"/>
    </row>
    <row r="306" spans="1:26" s="133" customFormat="1" x14ac:dyDescent="0.25">
      <c r="A306" s="209"/>
      <c r="B306" s="161"/>
      <c r="C306" s="105"/>
      <c r="D306" s="105"/>
      <c r="E306" s="105"/>
      <c r="F306" s="105"/>
      <c r="G306" s="105"/>
      <c r="H306" s="105"/>
      <c r="I306" s="105"/>
      <c r="J306" s="105"/>
      <c r="K306" s="136"/>
      <c r="L306" s="105"/>
      <c r="M306" s="105"/>
      <c r="N306" s="105"/>
      <c r="O306" s="105"/>
      <c r="P306" s="135"/>
      <c r="Q306" s="105"/>
      <c r="R306" s="136"/>
      <c r="S306" s="105"/>
      <c r="T306" s="135"/>
      <c r="U306" s="354"/>
      <c r="V306" s="353"/>
      <c r="W306" s="130"/>
      <c r="X306" s="130"/>
      <c r="Y306" s="403"/>
      <c r="Z306" s="404"/>
    </row>
    <row r="307" spans="1:26" s="133" customFormat="1" x14ac:dyDescent="0.25">
      <c r="A307" s="209"/>
      <c r="B307" s="161"/>
      <c r="C307" s="105"/>
      <c r="D307" s="105"/>
      <c r="E307" s="105"/>
      <c r="F307" s="105"/>
      <c r="G307" s="105"/>
      <c r="H307" s="105"/>
      <c r="I307" s="105"/>
      <c r="J307" s="105"/>
      <c r="K307" s="136"/>
      <c r="L307" s="105"/>
      <c r="M307" s="105"/>
      <c r="N307" s="105"/>
      <c r="O307" s="105"/>
      <c r="P307" s="135"/>
      <c r="Q307" s="105"/>
      <c r="R307" s="136"/>
      <c r="S307" s="105"/>
      <c r="T307" s="135"/>
      <c r="U307" s="354"/>
      <c r="V307" s="353"/>
      <c r="W307" s="130"/>
      <c r="X307" s="130"/>
      <c r="Y307" s="403"/>
      <c r="Z307" s="404"/>
    </row>
    <row r="308" spans="1:26" s="133" customFormat="1" x14ac:dyDescent="0.25">
      <c r="A308" s="209"/>
      <c r="B308" s="161"/>
      <c r="C308" s="105"/>
      <c r="D308" s="105"/>
      <c r="E308" s="105"/>
      <c r="F308" s="105"/>
      <c r="G308" s="105"/>
      <c r="H308" s="105"/>
      <c r="I308" s="105"/>
      <c r="J308" s="105"/>
      <c r="K308" s="136"/>
      <c r="L308" s="105"/>
      <c r="M308" s="105"/>
      <c r="N308" s="105"/>
      <c r="O308" s="105"/>
      <c r="P308" s="135"/>
      <c r="Q308" s="105"/>
      <c r="R308" s="136"/>
      <c r="S308" s="105"/>
      <c r="T308" s="135"/>
      <c r="U308" s="354"/>
      <c r="V308" s="353"/>
      <c r="W308" s="130"/>
      <c r="X308" s="130"/>
      <c r="Y308" s="403"/>
      <c r="Z308" s="404"/>
    </row>
    <row r="309" spans="1:26" s="133" customFormat="1" x14ac:dyDescent="0.25">
      <c r="A309" s="209"/>
      <c r="B309" s="161"/>
      <c r="C309" s="105"/>
      <c r="D309" s="105"/>
      <c r="E309" s="105"/>
      <c r="F309" s="105"/>
      <c r="G309" s="105"/>
      <c r="H309" s="105"/>
      <c r="I309" s="105"/>
      <c r="J309" s="105"/>
      <c r="K309" s="136"/>
      <c r="L309" s="105"/>
      <c r="M309" s="105"/>
      <c r="N309" s="105"/>
      <c r="O309" s="105"/>
      <c r="P309" s="135"/>
      <c r="Q309" s="105"/>
      <c r="R309" s="136"/>
      <c r="S309" s="105"/>
      <c r="T309" s="135"/>
      <c r="U309" s="354"/>
      <c r="V309" s="353"/>
      <c r="W309" s="130"/>
      <c r="X309" s="130"/>
      <c r="Y309" s="403"/>
      <c r="Z309" s="404"/>
    </row>
    <row r="310" spans="1:26" s="133" customFormat="1" x14ac:dyDescent="0.25">
      <c r="A310" s="209"/>
      <c r="B310" s="161"/>
      <c r="C310" s="105"/>
      <c r="D310" s="105"/>
      <c r="E310" s="105"/>
      <c r="F310" s="105"/>
      <c r="G310" s="105"/>
      <c r="H310" s="105"/>
      <c r="I310" s="105"/>
      <c r="J310" s="105"/>
      <c r="K310" s="136"/>
      <c r="L310" s="105"/>
      <c r="M310" s="105"/>
      <c r="N310" s="105"/>
      <c r="O310" s="105"/>
      <c r="P310" s="135"/>
      <c r="Q310" s="105"/>
      <c r="R310" s="136"/>
      <c r="S310" s="105"/>
      <c r="T310" s="135"/>
      <c r="U310" s="354"/>
      <c r="V310" s="353"/>
      <c r="W310" s="130"/>
      <c r="X310" s="130"/>
      <c r="Y310" s="403"/>
      <c r="Z310" s="404"/>
    </row>
    <row r="311" spans="1:26" s="133" customFormat="1" x14ac:dyDescent="0.25">
      <c r="A311" s="209"/>
      <c r="B311" s="161"/>
      <c r="C311" s="105"/>
      <c r="D311" s="105"/>
      <c r="E311" s="105"/>
      <c r="F311" s="105"/>
      <c r="G311" s="105"/>
      <c r="H311" s="105"/>
      <c r="I311" s="105"/>
      <c r="J311" s="105"/>
      <c r="K311" s="136"/>
      <c r="L311" s="105"/>
      <c r="M311" s="105"/>
      <c r="N311" s="105"/>
      <c r="O311" s="105"/>
      <c r="P311" s="135"/>
      <c r="Q311" s="105"/>
      <c r="R311" s="136"/>
      <c r="S311" s="105"/>
      <c r="T311" s="135"/>
      <c r="U311" s="354"/>
      <c r="V311" s="353"/>
      <c r="W311" s="130"/>
      <c r="X311" s="130"/>
      <c r="Y311" s="403"/>
      <c r="Z311" s="404"/>
    </row>
    <row r="312" spans="1:26" s="133" customFormat="1" x14ac:dyDescent="0.25">
      <c r="A312" s="209"/>
      <c r="B312" s="161"/>
      <c r="C312" s="105"/>
      <c r="D312" s="105"/>
      <c r="E312" s="105"/>
      <c r="F312" s="105"/>
      <c r="G312" s="105"/>
      <c r="H312" s="105"/>
      <c r="I312" s="105"/>
      <c r="J312" s="105"/>
      <c r="K312" s="136"/>
      <c r="L312" s="105"/>
      <c r="M312" s="105"/>
      <c r="N312" s="105"/>
      <c r="O312" s="105"/>
      <c r="P312" s="135"/>
      <c r="Q312" s="105"/>
      <c r="R312" s="136"/>
      <c r="S312" s="105"/>
      <c r="T312" s="135"/>
      <c r="U312" s="354"/>
      <c r="V312" s="353"/>
      <c r="W312" s="130"/>
      <c r="X312" s="130"/>
      <c r="Y312" s="403"/>
      <c r="Z312" s="404"/>
    </row>
    <row r="313" spans="1:26" s="133" customFormat="1" x14ac:dyDescent="0.25">
      <c r="A313" s="209"/>
      <c r="B313" s="161"/>
      <c r="C313" s="105"/>
      <c r="D313" s="105"/>
      <c r="E313" s="105"/>
      <c r="F313" s="105"/>
      <c r="G313" s="105"/>
      <c r="H313" s="105"/>
      <c r="I313" s="105"/>
      <c r="J313" s="105"/>
      <c r="K313" s="136"/>
      <c r="L313" s="105"/>
      <c r="M313" s="105"/>
      <c r="N313" s="105"/>
      <c r="O313" s="105"/>
      <c r="P313" s="135"/>
      <c r="Q313" s="105"/>
      <c r="R313" s="136"/>
      <c r="S313" s="105"/>
      <c r="T313" s="135"/>
      <c r="U313" s="354"/>
      <c r="V313" s="353"/>
      <c r="W313" s="130"/>
      <c r="X313" s="130"/>
      <c r="Y313" s="403"/>
      <c r="Z313" s="404"/>
    </row>
    <row r="314" spans="1:26" s="133" customFormat="1" x14ac:dyDescent="0.25">
      <c r="A314" s="209"/>
      <c r="B314" s="161"/>
      <c r="C314" s="105"/>
      <c r="D314" s="105"/>
      <c r="E314" s="105"/>
      <c r="F314" s="105"/>
      <c r="G314" s="105"/>
      <c r="H314" s="105"/>
      <c r="I314" s="105"/>
      <c r="J314" s="105"/>
      <c r="K314" s="136"/>
      <c r="L314" s="105"/>
      <c r="M314" s="105"/>
      <c r="N314" s="105"/>
      <c r="O314" s="105"/>
      <c r="P314" s="135"/>
      <c r="Q314" s="105"/>
      <c r="R314" s="136"/>
      <c r="S314" s="105"/>
      <c r="T314" s="135"/>
      <c r="U314" s="354"/>
      <c r="V314" s="353"/>
      <c r="W314" s="130"/>
      <c r="X314" s="130"/>
      <c r="Y314" s="403"/>
      <c r="Z314" s="404"/>
    </row>
    <row r="315" spans="1:26" s="133" customFormat="1" x14ac:dyDescent="0.25">
      <c r="A315" s="209"/>
      <c r="B315" s="161"/>
      <c r="C315" s="105"/>
      <c r="D315" s="105"/>
      <c r="E315" s="105"/>
      <c r="F315" s="105"/>
      <c r="G315" s="105"/>
      <c r="H315" s="105"/>
      <c r="I315" s="105"/>
      <c r="J315" s="105"/>
      <c r="K315" s="136"/>
      <c r="L315" s="105"/>
      <c r="M315" s="105"/>
      <c r="N315" s="105"/>
      <c r="O315" s="105"/>
      <c r="P315" s="135"/>
      <c r="Q315" s="105"/>
      <c r="R315" s="136"/>
      <c r="S315" s="105"/>
      <c r="T315" s="135"/>
      <c r="U315" s="354"/>
      <c r="V315" s="353"/>
      <c r="W315" s="130"/>
      <c r="X315" s="130"/>
      <c r="Y315" s="403"/>
      <c r="Z315" s="404"/>
    </row>
    <row r="316" spans="1:26" s="133" customFormat="1" x14ac:dyDescent="0.25">
      <c r="A316" s="209"/>
      <c r="B316" s="161"/>
      <c r="C316" s="105"/>
      <c r="D316" s="105"/>
      <c r="E316" s="105"/>
      <c r="F316" s="105"/>
      <c r="G316" s="105"/>
      <c r="H316" s="105"/>
      <c r="I316" s="105"/>
      <c r="J316" s="105"/>
      <c r="K316" s="136"/>
      <c r="L316" s="105"/>
      <c r="M316" s="105"/>
      <c r="N316" s="105"/>
      <c r="O316" s="105"/>
      <c r="P316" s="135"/>
      <c r="Q316" s="105"/>
      <c r="R316" s="136"/>
      <c r="S316" s="105"/>
      <c r="T316" s="135"/>
      <c r="U316" s="354"/>
      <c r="V316" s="353"/>
      <c r="W316" s="130"/>
      <c r="X316" s="130"/>
      <c r="Y316" s="403"/>
      <c r="Z316" s="404"/>
    </row>
    <row r="317" spans="1:26" s="133" customFormat="1" x14ac:dyDescent="0.25">
      <c r="A317" s="209"/>
      <c r="B317" s="161"/>
      <c r="C317" s="105"/>
      <c r="D317" s="105"/>
      <c r="E317" s="105"/>
      <c r="F317" s="105"/>
      <c r="G317" s="105"/>
      <c r="H317" s="105"/>
      <c r="I317" s="105"/>
      <c r="J317" s="105"/>
      <c r="K317" s="136"/>
      <c r="L317" s="105"/>
      <c r="M317" s="105"/>
      <c r="N317" s="105"/>
      <c r="O317" s="105"/>
      <c r="P317" s="135"/>
      <c r="Q317" s="105"/>
      <c r="R317" s="136"/>
      <c r="S317" s="105"/>
      <c r="T317" s="135"/>
      <c r="U317" s="354"/>
      <c r="V317" s="353"/>
      <c r="W317" s="130"/>
      <c r="X317" s="130"/>
      <c r="Y317" s="403"/>
      <c r="Z317" s="404"/>
    </row>
    <row r="318" spans="1:26" s="133" customFormat="1" x14ac:dyDescent="0.25">
      <c r="A318" s="209"/>
      <c r="B318" s="161"/>
      <c r="C318" s="105"/>
      <c r="D318" s="105"/>
      <c r="E318" s="105"/>
      <c r="F318" s="105"/>
      <c r="G318" s="105"/>
      <c r="H318" s="105"/>
      <c r="I318" s="105"/>
      <c r="J318" s="105"/>
      <c r="K318" s="136"/>
      <c r="L318" s="105"/>
      <c r="M318" s="105"/>
      <c r="N318" s="105"/>
      <c r="O318" s="105"/>
      <c r="P318" s="135"/>
      <c r="Q318" s="105"/>
      <c r="R318" s="136"/>
      <c r="S318" s="105"/>
      <c r="T318" s="135"/>
      <c r="U318" s="354"/>
      <c r="V318" s="353"/>
      <c r="W318" s="130"/>
      <c r="X318" s="130"/>
      <c r="Y318" s="403"/>
      <c r="Z318" s="404"/>
    </row>
    <row r="319" spans="1:26" s="133" customFormat="1" x14ac:dyDescent="0.25">
      <c r="A319" s="209"/>
      <c r="B319" s="161"/>
      <c r="C319" s="105"/>
      <c r="D319" s="105"/>
      <c r="E319" s="105"/>
      <c r="F319" s="105"/>
      <c r="G319" s="105"/>
      <c r="H319" s="105"/>
      <c r="I319" s="105"/>
      <c r="J319" s="105"/>
      <c r="K319" s="136"/>
      <c r="L319" s="105"/>
      <c r="M319" s="105"/>
      <c r="N319" s="105"/>
      <c r="O319" s="105"/>
      <c r="P319" s="135"/>
      <c r="Q319" s="105"/>
      <c r="R319" s="136"/>
      <c r="S319" s="105"/>
      <c r="T319" s="135"/>
      <c r="U319" s="354"/>
      <c r="V319" s="353"/>
      <c r="W319" s="130"/>
      <c r="X319" s="130"/>
      <c r="Y319" s="403"/>
      <c r="Z319" s="404"/>
    </row>
    <row r="320" spans="1:26" s="133" customFormat="1" x14ac:dyDescent="0.25">
      <c r="A320" s="209"/>
      <c r="B320" s="161"/>
      <c r="C320" s="105"/>
      <c r="D320" s="105"/>
      <c r="E320" s="105"/>
      <c r="F320" s="105"/>
      <c r="G320" s="105"/>
      <c r="H320" s="105"/>
      <c r="I320" s="105"/>
      <c r="J320" s="105"/>
      <c r="K320" s="136"/>
      <c r="L320" s="105"/>
      <c r="M320" s="105"/>
      <c r="N320" s="105"/>
      <c r="O320" s="105"/>
      <c r="P320" s="135"/>
      <c r="Q320" s="105"/>
      <c r="R320" s="136"/>
      <c r="S320" s="105"/>
      <c r="T320" s="135"/>
      <c r="U320" s="354"/>
      <c r="V320" s="353"/>
      <c r="W320" s="130"/>
      <c r="X320" s="130"/>
      <c r="Y320" s="403"/>
      <c r="Z320" s="404"/>
    </row>
    <row r="321" spans="1:26" s="133" customFormat="1" x14ac:dyDescent="0.25">
      <c r="A321" s="209"/>
      <c r="B321" s="161"/>
      <c r="C321" s="105"/>
      <c r="D321" s="105"/>
      <c r="E321" s="105"/>
      <c r="F321" s="105"/>
      <c r="G321" s="105"/>
      <c r="H321" s="105"/>
      <c r="I321" s="105"/>
      <c r="J321" s="105"/>
      <c r="K321" s="136"/>
      <c r="L321" s="105"/>
      <c r="M321" s="105"/>
      <c r="N321" s="105"/>
      <c r="O321" s="105"/>
      <c r="P321" s="135"/>
      <c r="Q321" s="105"/>
      <c r="R321" s="136"/>
      <c r="S321" s="105"/>
      <c r="T321" s="135"/>
      <c r="U321" s="354"/>
      <c r="V321" s="353"/>
      <c r="W321" s="130"/>
      <c r="X321" s="130"/>
      <c r="Y321" s="403"/>
      <c r="Z321" s="404"/>
    </row>
    <row r="322" spans="1:26" s="133" customFormat="1" x14ac:dyDescent="0.25">
      <c r="A322" s="209"/>
      <c r="B322" s="161"/>
      <c r="C322" s="105"/>
      <c r="D322" s="105"/>
      <c r="E322" s="105"/>
      <c r="F322" s="105"/>
      <c r="G322" s="105"/>
      <c r="H322" s="105"/>
      <c r="I322" s="105"/>
      <c r="J322" s="105"/>
      <c r="K322" s="136"/>
      <c r="L322" s="105"/>
      <c r="M322" s="105"/>
      <c r="N322" s="105"/>
      <c r="O322" s="105"/>
      <c r="P322" s="135"/>
      <c r="Q322" s="105"/>
      <c r="R322" s="136"/>
      <c r="S322" s="105"/>
      <c r="T322" s="135"/>
      <c r="U322" s="354"/>
      <c r="V322" s="353"/>
      <c r="W322" s="130"/>
      <c r="X322" s="130"/>
      <c r="Y322" s="403"/>
      <c r="Z322" s="404"/>
    </row>
    <row r="323" spans="1:26" s="133" customFormat="1" x14ac:dyDescent="0.25">
      <c r="A323" s="209"/>
      <c r="B323" s="161"/>
      <c r="C323" s="105"/>
      <c r="D323" s="105"/>
      <c r="E323" s="105"/>
      <c r="F323" s="105"/>
      <c r="G323" s="105"/>
      <c r="H323" s="105"/>
      <c r="I323" s="105"/>
      <c r="J323" s="105"/>
      <c r="K323" s="136"/>
      <c r="L323" s="105"/>
      <c r="M323" s="105"/>
      <c r="N323" s="105"/>
      <c r="O323" s="105"/>
      <c r="P323" s="135"/>
      <c r="Q323" s="105"/>
      <c r="R323" s="136"/>
      <c r="S323" s="105"/>
      <c r="T323" s="135"/>
      <c r="U323" s="354"/>
      <c r="V323" s="353"/>
      <c r="W323" s="130"/>
      <c r="X323" s="130"/>
      <c r="Y323" s="403"/>
      <c r="Z323" s="404"/>
    </row>
    <row r="324" spans="1:26" s="133" customFormat="1" x14ac:dyDescent="0.25">
      <c r="A324" s="209"/>
      <c r="B324" s="161"/>
      <c r="C324" s="105"/>
      <c r="D324" s="105"/>
      <c r="E324" s="105"/>
      <c r="F324" s="105"/>
      <c r="G324" s="105"/>
      <c r="H324" s="105"/>
      <c r="I324" s="105"/>
      <c r="J324" s="105"/>
      <c r="K324" s="136"/>
      <c r="L324" s="105"/>
      <c r="M324" s="105"/>
      <c r="N324" s="105"/>
      <c r="O324" s="105"/>
      <c r="P324" s="135"/>
      <c r="Q324" s="105"/>
      <c r="R324" s="136"/>
      <c r="S324" s="105"/>
      <c r="T324" s="135"/>
      <c r="U324" s="354"/>
      <c r="V324" s="353"/>
      <c r="W324" s="130"/>
      <c r="X324" s="130"/>
      <c r="Y324" s="403"/>
      <c r="Z324" s="404"/>
    </row>
    <row r="325" spans="1:26" s="133" customFormat="1" x14ac:dyDescent="0.25">
      <c r="A325" s="209"/>
      <c r="B325" s="161"/>
      <c r="C325" s="105"/>
      <c r="D325" s="105"/>
      <c r="E325" s="105"/>
      <c r="F325" s="105"/>
      <c r="G325" s="105"/>
      <c r="H325" s="105"/>
      <c r="I325" s="105"/>
      <c r="J325" s="105"/>
      <c r="K325" s="136"/>
      <c r="L325" s="105"/>
      <c r="M325" s="105"/>
      <c r="N325" s="105"/>
      <c r="O325" s="105"/>
      <c r="P325" s="135"/>
      <c r="Q325" s="105"/>
      <c r="R325" s="136"/>
      <c r="S325" s="105"/>
      <c r="T325" s="135"/>
      <c r="U325" s="354"/>
      <c r="V325" s="353"/>
      <c r="W325" s="130"/>
      <c r="X325" s="130"/>
      <c r="Y325" s="403"/>
      <c r="Z325" s="404"/>
    </row>
    <row r="326" spans="1:26" s="133" customFormat="1" x14ac:dyDescent="0.25">
      <c r="A326" s="209"/>
      <c r="B326" s="161"/>
      <c r="C326" s="105"/>
      <c r="D326" s="105"/>
      <c r="E326" s="105"/>
      <c r="F326" s="105"/>
      <c r="G326" s="105"/>
      <c r="H326" s="105"/>
      <c r="I326" s="105"/>
      <c r="J326" s="105"/>
      <c r="K326" s="136"/>
      <c r="L326" s="105"/>
      <c r="M326" s="105"/>
      <c r="N326" s="105"/>
      <c r="O326" s="105"/>
      <c r="P326" s="135"/>
      <c r="Q326" s="105"/>
      <c r="R326" s="136"/>
      <c r="S326" s="105"/>
      <c r="T326" s="135"/>
      <c r="U326" s="354"/>
      <c r="V326" s="353"/>
      <c r="W326" s="130"/>
      <c r="X326" s="130"/>
      <c r="Y326" s="403"/>
      <c r="Z326" s="404"/>
    </row>
    <row r="327" spans="1:26" s="133" customFormat="1" x14ac:dyDescent="0.25">
      <c r="A327" s="209"/>
      <c r="B327" s="161"/>
      <c r="C327" s="105"/>
      <c r="D327" s="105"/>
      <c r="E327" s="105"/>
      <c r="F327" s="105"/>
      <c r="G327" s="105"/>
      <c r="H327" s="105"/>
      <c r="I327" s="105"/>
      <c r="J327" s="105"/>
      <c r="K327" s="136"/>
      <c r="L327" s="105"/>
      <c r="M327" s="105"/>
      <c r="N327" s="105"/>
      <c r="O327" s="105"/>
      <c r="P327" s="135"/>
      <c r="Q327" s="105"/>
      <c r="R327" s="136"/>
      <c r="S327" s="105"/>
      <c r="T327" s="135"/>
      <c r="U327" s="354"/>
      <c r="V327" s="353"/>
      <c r="W327" s="130"/>
      <c r="X327" s="130"/>
      <c r="Y327" s="403"/>
      <c r="Z327" s="404"/>
    </row>
    <row r="328" spans="1:26" s="133" customFormat="1" x14ac:dyDescent="0.25">
      <c r="A328" s="209"/>
      <c r="B328" s="161"/>
      <c r="C328" s="105"/>
      <c r="D328" s="105"/>
      <c r="E328" s="105"/>
      <c r="F328" s="105"/>
      <c r="G328" s="105"/>
      <c r="H328" s="105"/>
      <c r="I328" s="105"/>
      <c r="J328" s="105"/>
      <c r="K328" s="136"/>
      <c r="L328" s="105"/>
      <c r="M328" s="105"/>
      <c r="N328" s="105"/>
      <c r="O328" s="105"/>
      <c r="P328" s="135"/>
      <c r="Q328" s="105"/>
      <c r="R328" s="136"/>
      <c r="S328" s="105"/>
      <c r="T328" s="135"/>
      <c r="U328" s="354"/>
      <c r="V328" s="353"/>
      <c r="W328" s="130"/>
      <c r="X328" s="130"/>
      <c r="Y328" s="403"/>
      <c r="Z328" s="404"/>
    </row>
    <row r="329" spans="1:26" s="133" customFormat="1" x14ac:dyDescent="0.25">
      <c r="A329" s="209"/>
      <c r="B329" s="161"/>
      <c r="C329" s="105"/>
      <c r="D329" s="105"/>
      <c r="E329" s="105"/>
      <c r="F329" s="105"/>
      <c r="G329" s="105"/>
      <c r="H329" s="105"/>
      <c r="I329" s="105"/>
      <c r="J329" s="105"/>
      <c r="K329" s="136"/>
      <c r="L329" s="105"/>
      <c r="M329" s="105"/>
      <c r="N329" s="105"/>
      <c r="O329" s="105"/>
      <c r="P329" s="135"/>
      <c r="Q329" s="105"/>
      <c r="R329" s="136"/>
      <c r="S329" s="105"/>
      <c r="T329" s="135"/>
      <c r="U329" s="354"/>
      <c r="V329" s="353"/>
      <c r="W329" s="130"/>
      <c r="X329" s="130"/>
      <c r="Y329" s="403"/>
      <c r="Z329" s="404"/>
    </row>
    <row r="330" spans="1:26" s="133" customFormat="1" x14ac:dyDescent="0.25">
      <c r="A330" s="209"/>
      <c r="B330" s="161"/>
      <c r="C330" s="105"/>
      <c r="D330" s="105"/>
      <c r="E330" s="105"/>
      <c r="F330" s="105"/>
      <c r="G330" s="105"/>
      <c r="H330" s="105"/>
      <c r="I330" s="105"/>
      <c r="J330" s="105"/>
      <c r="K330" s="136"/>
      <c r="L330" s="105"/>
      <c r="M330" s="105"/>
      <c r="N330" s="105"/>
      <c r="O330" s="105"/>
      <c r="P330" s="135"/>
      <c r="Q330" s="105"/>
      <c r="R330" s="136"/>
      <c r="S330" s="105"/>
      <c r="T330" s="135"/>
      <c r="U330" s="354"/>
      <c r="V330" s="353"/>
      <c r="W330" s="130"/>
      <c r="X330" s="130"/>
      <c r="Y330" s="403"/>
      <c r="Z330" s="404"/>
    </row>
    <row r="331" spans="1:26" s="133" customFormat="1" x14ac:dyDescent="0.25">
      <c r="A331" s="209"/>
      <c r="B331" s="161"/>
      <c r="C331" s="105"/>
      <c r="D331" s="105"/>
      <c r="E331" s="105"/>
      <c r="F331" s="105"/>
      <c r="G331" s="105"/>
      <c r="H331" s="105"/>
      <c r="I331" s="105"/>
      <c r="J331" s="105"/>
      <c r="K331" s="136"/>
      <c r="L331" s="105"/>
      <c r="M331" s="105"/>
      <c r="N331" s="105"/>
      <c r="O331" s="105"/>
      <c r="P331" s="135"/>
      <c r="Q331" s="105"/>
      <c r="R331" s="136"/>
      <c r="S331" s="105"/>
      <c r="T331" s="135"/>
      <c r="U331" s="354"/>
      <c r="V331" s="353"/>
      <c r="W331" s="130"/>
      <c r="X331" s="130"/>
      <c r="Y331" s="403"/>
      <c r="Z331" s="404"/>
    </row>
    <row r="332" spans="1:26" s="133" customFormat="1" x14ac:dyDescent="0.25">
      <c r="A332" s="209"/>
      <c r="B332" s="161"/>
      <c r="C332" s="105"/>
      <c r="D332" s="105"/>
      <c r="E332" s="105"/>
      <c r="F332" s="105"/>
      <c r="G332" s="105"/>
      <c r="H332" s="105"/>
      <c r="I332" s="105"/>
      <c r="J332" s="105"/>
      <c r="K332" s="136"/>
      <c r="L332" s="105"/>
      <c r="M332" s="105"/>
      <c r="N332" s="105"/>
      <c r="O332" s="105"/>
      <c r="P332" s="135"/>
      <c r="Q332" s="105"/>
      <c r="R332" s="136"/>
      <c r="S332" s="105"/>
      <c r="T332" s="135"/>
      <c r="U332" s="354"/>
      <c r="V332" s="353"/>
      <c r="W332" s="130"/>
      <c r="X332" s="130"/>
      <c r="Y332" s="403"/>
      <c r="Z332" s="404"/>
    </row>
    <row r="333" spans="1:26" s="133" customFormat="1" x14ac:dyDescent="0.25">
      <c r="A333" s="209"/>
      <c r="B333" s="161"/>
      <c r="C333" s="105"/>
      <c r="D333" s="105"/>
      <c r="E333" s="105"/>
      <c r="F333" s="105"/>
      <c r="G333" s="105"/>
      <c r="H333" s="105"/>
      <c r="I333" s="105"/>
      <c r="J333" s="105"/>
      <c r="K333" s="136"/>
      <c r="L333" s="105"/>
      <c r="M333" s="105"/>
      <c r="N333" s="105"/>
      <c r="O333" s="105"/>
      <c r="P333" s="135"/>
      <c r="Q333" s="105"/>
      <c r="R333" s="136"/>
      <c r="S333" s="105"/>
      <c r="T333" s="135"/>
      <c r="U333" s="354"/>
      <c r="V333" s="353"/>
      <c r="W333" s="130"/>
      <c r="X333" s="130"/>
      <c r="Y333" s="403"/>
      <c r="Z333" s="404"/>
    </row>
    <row r="334" spans="1:26" s="133" customFormat="1" x14ac:dyDescent="0.25">
      <c r="A334" s="209"/>
      <c r="B334" s="161"/>
      <c r="C334" s="105"/>
      <c r="D334" s="105"/>
      <c r="E334" s="105"/>
      <c r="F334" s="105"/>
      <c r="G334" s="105"/>
      <c r="H334" s="105"/>
      <c r="I334" s="105"/>
      <c r="J334" s="105"/>
      <c r="K334" s="136"/>
      <c r="L334" s="105"/>
      <c r="M334" s="105"/>
      <c r="N334" s="105"/>
      <c r="O334" s="105"/>
      <c r="P334" s="135"/>
      <c r="Q334" s="105"/>
      <c r="R334" s="136"/>
      <c r="S334" s="105"/>
      <c r="T334" s="135"/>
      <c r="U334" s="354"/>
      <c r="V334" s="353"/>
      <c r="W334" s="130"/>
      <c r="X334" s="130"/>
      <c r="Y334" s="403"/>
      <c r="Z334" s="404"/>
    </row>
    <row r="335" spans="1:26" s="133" customFormat="1" x14ac:dyDescent="0.25">
      <c r="A335" s="209"/>
      <c r="B335" s="161"/>
      <c r="C335" s="105"/>
      <c r="D335" s="105"/>
      <c r="E335" s="105"/>
      <c r="F335" s="105"/>
      <c r="G335" s="105"/>
      <c r="H335" s="105"/>
      <c r="I335" s="105"/>
      <c r="J335" s="105"/>
      <c r="K335" s="136"/>
      <c r="L335" s="105"/>
      <c r="M335" s="105"/>
      <c r="N335" s="105"/>
      <c r="O335" s="105"/>
      <c r="P335" s="135"/>
      <c r="Q335" s="105"/>
      <c r="R335" s="136"/>
      <c r="S335" s="105"/>
      <c r="T335" s="135"/>
      <c r="U335" s="354"/>
      <c r="V335" s="353"/>
      <c r="W335" s="130"/>
      <c r="X335" s="130"/>
      <c r="Y335" s="403"/>
      <c r="Z335" s="404"/>
    </row>
    <row r="336" spans="1:26" s="133" customFormat="1" x14ac:dyDescent="0.25">
      <c r="A336" s="209"/>
      <c r="B336" s="161"/>
      <c r="C336" s="105"/>
      <c r="D336" s="105"/>
      <c r="E336" s="105"/>
      <c r="F336" s="105"/>
      <c r="G336" s="105"/>
      <c r="H336" s="105"/>
      <c r="I336" s="105"/>
      <c r="J336" s="105"/>
      <c r="K336" s="136"/>
      <c r="L336" s="105"/>
      <c r="M336" s="105"/>
      <c r="N336" s="105"/>
      <c r="O336" s="105"/>
      <c r="P336" s="135"/>
      <c r="Q336" s="105"/>
      <c r="R336" s="136"/>
      <c r="S336" s="105"/>
      <c r="T336" s="135"/>
      <c r="U336" s="354"/>
      <c r="V336" s="353"/>
      <c r="W336" s="130"/>
      <c r="X336" s="130"/>
      <c r="Y336" s="403"/>
      <c r="Z336" s="404"/>
    </row>
    <row r="337" spans="1:26" s="133" customFormat="1" x14ac:dyDescent="0.25">
      <c r="A337" s="209"/>
      <c r="B337" s="161"/>
      <c r="C337" s="105"/>
      <c r="D337" s="105"/>
      <c r="E337" s="105"/>
      <c r="F337" s="105"/>
      <c r="G337" s="105"/>
      <c r="H337" s="105"/>
      <c r="I337" s="105"/>
      <c r="J337" s="105"/>
      <c r="K337" s="136"/>
      <c r="L337" s="105"/>
      <c r="M337" s="105"/>
      <c r="N337" s="105"/>
      <c r="O337" s="105"/>
      <c r="P337" s="135"/>
      <c r="Q337" s="105"/>
      <c r="R337" s="136"/>
      <c r="S337" s="105"/>
      <c r="T337" s="135"/>
      <c r="U337" s="354"/>
      <c r="V337" s="353"/>
      <c r="W337" s="130"/>
      <c r="X337" s="130"/>
      <c r="Y337" s="403"/>
      <c r="Z337" s="404"/>
    </row>
    <row r="338" spans="1:26" s="133" customFormat="1" x14ac:dyDescent="0.25">
      <c r="A338" s="209"/>
      <c r="B338" s="161"/>
      <c r="C338" s="105"/>
      <c r="D338" s="105"/>
      <c r="E338" s="105"/>
      <c r="F338" s="105"/>
      <c r="G338" s="105"/>
      <c r="H338" s="105"/>
      <c r="I338" s="105"/>
      <c r="J338" s="105"/>
      <c r="K338" s="136"/>
      <c r="L338" s="105"/>
      <c r="M338" s="105"/>
      <c r="N338" s="105"/>
      <c r="O338" s="105"/>
      <c r="P338" s="135"/>
      <c r="Q338" s="105"/>
      <c r="R338" s="136"/>
      <c r="S338" s="105"/>
      <c r="T338" s="135"/>
      <c r="U338" s="354"/>
      <c r="V338" s="353"/>
      <c r="W338" s="130"/>
      <c r="X338" s="130"/>
      <c r="Y338" s="403"/>
      <c r="Z338" s="404"/>
    </row>
    <row r="339" spans="1:26" s="133" customFormat="1" x14ac:dyDescent="0.25">
      <c r="A339" s="209"/>
      <c r="B339" s="161"/>
      <c r="C339" s="105"/>
      <c r="D339" s="105"/>
      <c r="E339" s="105"/>
      <c r="F339" s="105"/>
      <c r="G339" s="105"/>
      <c r="H339" s="105"/>
      <c r="I339" s="105"/>
      <c r="J339" s="105"/>
      <c r="K339" s="136"/>
      <c r="L339" s="105"/>
      <c r="M339" s="105"/>
      <c r="N339" s="105"/>
      <c r="O339" s="105"/>
      <c r="P339" s="135"/>
      <c r="Q339" s="105"/>
      <c r="R339" s="136"/>
      <c r="S339" s="105"/>
      <c r="T339" s="135"/>
      <c r="U339" s="354"/>
      <c r="V339" s="353"/>
      <c r="W339" s="130"/>
      <c r="X339" s="130"/>
      <c r="Y339" s="403"/>
      <c r="Z339" s="404"/>
    </row>
    <row r="340" spans="1:26" s="133" customFormat="1" x14ac:dyDescent="0.25">
      <c r="A340" s="209"/>
      <c r="B340" s="161"/>
      <c r="C340" s="105"/>
      <c r="D340" s="105"/>
      <c r="E340" s="105"/>
      <c r="F340" s="105"/>
      <c r="G340" s="105"/>
      <c r="H340" s="105"/>
      <c r="I340" s="105"/>
      <c r="J340" s="105"/>
      <c r="K340" s="136"/>
      <c r="L340" s="105"/>
      <c r="M340" s="105"/>
      <c r="N340" s="105"/>
      <c r="O340" s="105"/>
      <c r="P340" s="135"/>
      <c r="Q340" s="105"/>
      <c r="R340" s="136"/>
      <c r="S340" s="105"/>
      <c r="T340" s="135"/>
      <c r="U340" s="354"/>
      <c r="V340" s="353"/>
      <c r="W340" s="130"/>
      <c r="X340" s="130"/>
      <c r="Y340" s="403"/>
      <c r="Z340" s="404"/>
    </row>
    <row r="341" spans="1:26" s="133" customFormat="1" x14ac:dyDescent="0.25">
      <c r="A341" s="209"/>
      <c r="B341" s="161"/>
      <c r="C341" s="105"/>
      <c r="D341" s="105"/>
      <c r="E341" s="105"/>
      <c r="F341" s="105"/>
      <c r="G341" s="105"/>
      <c r="H341" s="105"/>
      <c r="I341" s="105"/>
      <c r="J341" s="105"/>
      <c r="K341" s="136"/>
      <c r="L341" s="105"/>
      <c r="M341" s="105"/>
      <c r="N341" s="105"/>
      <c r="O341" s="105"/>
      <c r="P341" s="135"/>
      <c r="Q341" s="105"/>
      <c r="R341" s="136"/>
      <c r="S341" s="105"/>
      <c r="T341" s="135"/>
      <c r="U341" s="354"/>
      <c r="V341" s="353"/>
      <c r="W341" s="130"/>
      <c r="X341" s="130"/>
      <c r="Y341" s="403"/>
      <c r="Z341" s="404"/>
    </row>
    <row r="342" spans="1:26" s="133" customFormat="1" x14ac:dyDescent="0.25">
      <c r="A342" s="209"/>
      <c r="B342" s="161"/>
      <c r="C342" s="105"/>
      <c r="D342" s="105"/>
      <c r="E342" s="105"/>
      <c r="F342" s="105"/>
      <c r="G342" s="105"/>
      <c r="H342" s="105"/>
      <c r="I342" s="105"/>
      <c r="J342" s="105"/>
      <c r="K342" s="136"/>
      <c r="L342" s="105"/>
      <c r="M342" s="105"/>
      <c r="N342" s="105"/>
      <c r="O342" s="105"/>
      <c r="P342" s="135"/>
      <c r="Q342" s="105"/>
      <c r="R342" s="136"/>
      <c r="S342" s="105"/>
      <c r="T342" s="135"/>
      <c r="U342" s="354"/>
      <c r="V342" s="353"/>
      <c r="W342" s="130"/>
      <c r="X342" s="130"/>
      <c r="Y342" s="403"/>
      <c r="Z342" s="404"/>
    </row>
    <row r="343" spans="1:26" s="133" customFormat="1" x14ac:dyDescent="0.25">
      <c r="A343" s="209"/>
      <c r="B343" s="161"/>
      <c r="C343" s="105"/>
      <c r="D343" s="105"/>
      <c r="E343" s="105"/>
      <c r="F343" s="105"/>
      <c r="G343" s="105"/>
      <c r="H343" s="105"/>
      <c r="I343" s="105"/>
      <c r="J343" s="105"/>
      <c r="K343" s="136"/>
      <c r="L343" s="105"/>
      <c r="M343" s="105"/>
      <c r="N343" s="105"/>
      <c r="O343" s="105"/>
      <c r="P343" s="135"/>
      <c r="Q343" s="105"/>
      <c r="R343" s="136"/>
      <c r="S343" s="105"/>
      <c r="T343" s="135"/>
      <c r="U343" s="354"/>
      <c r="V343" s="353"/>
      <c r="W343" s="130"/>
      <c r="X343" s="130"/>
      <c r="Y343" s="403"/>
      <c r="Z343" s="404"/>
    </row>
    <row r="344" spans="1:26" s="133" customFormat="1" x14ac:dyDescent="0.25">
      <c r="A344" s="209"/>
      <c r="B344" s="161"/>
      <c r="C344" s="105"/>
      <c r="D344" s="105"/>
      <c r="E344" s="105"/>
      <c r="F344" s="105"/>
      <c r="G344" s="105"/>
      <c r="H344" s="105"/>
      <c r="I344" s="105"/>
      <c r="J344" s="105"/>
      <c r="K344" s="136"/>
      <c r="L344" s="105"/>
      <c r="M344" s="105"/>
      <c r="N344" s="105"/>
      <c r="O344" s="105"/>
      <c r="P344" s="135"/>
      <c r="Q344" s="105"/>
      <c r="R344" s="136"/>
      <c r="S344" s="105"/>
      <c r="T344" s="135"/>
      <c r="U344" s="354"/>
      <c r="V344" s="353"/>
      <c r="W344" s="130"/>
      <c r="X344" s="130"/>
      <c r="Y344" s="403"/>
      <c r="Z344" s="404"/>
    </row>
    <row r="345" spans="1:26" s="133" customFormat="1" x14ac:dyDescent="0.25">
      <c r="A345" s="209"/>
      <c r="B345" s="161"/>
      <c r="C345" s="105"/>
      <c r="D345" s="105"/>
      <c r="E345" s="105"/>
      <c r="F345" s="105"/>
      <c r="G345" s="105"/>
      <c r="H345" s="105"/>
      <c r="I345" s="105"/>
      <c r="J345" s="105"/>
      <c r="K345" s="136"/>
      <c r="L345" s="105"/>
      <c r="M345" s="105"/>
      <c r="N345" s="105"/>
      <c r="O345" s="105"/>
      <c r="P345" s="135"/>
      <c r="Q345" s="105"/>
      <c r="R345" s="136"/>
      <c r="S345" s="105"/>
      <c r="T345" s="135"/>
      <c r="U345" s="354"/>
      <c r="V345" s="353"/>
      <c r="W345" s="130"/>
      <c r="X345" s="130"/>
      <c r="Y345" s="403"/>
      <c r="Z345" s="404"/>
    </row>
    <row r="346" spans="1:26" s="133" customFormat="1" x14ac:dyDescent="0.25">
      <c r="A346" s="209"/>
      <c r="B346" s="161"/>
      <c r="C346" s="105"/>
      <c r="D346" s="105"/>
      <c r="E346" s="105"/>
      <c r="F346" s="105"/>
      <c r="G346" s="105"/>
      <c r="H346" s="105"/>
      <c r="I346" s="105"/>
      <c r="J346" s="105"/>
      <c r="K346" s="136"/>
      <c r="L346" s="105"/>
      <c r="M346" s="105"/>
      <c r="N346" s="105"/>
      <c r="O346" s="105"/>
      <c r="P346" s="135"/>
      <c r="Q346" s="105"/>
      <c r="R346" s="136"/>
      <c r="S346" s="105"/>
      <c r="T346" s="135"/>
      <c r="U346" s="354"/>
      <c r="V346" s="353"/>
      <c r="W346" s="130"/>
      <c r="X346" s="130"/>
      <c r="Y346" s="403"/>
      <c r="Z346" s="404"/>
    </row>
    <row r="347" spans="1:26" s="133" customFormat="1" x14ac:dyDescent="0.25">
      <c r="A347" s="209"/>
      <c r="B347" s="161"/>
      <c r="C347" s="105"/>
      <c r="D347" s="105"/>
      <c r="E347" s="105"/>
      <c r="F347" s="105"/>
      <c r="G347" s="105"/>
      <c r="H347" s="105"/>
      <c r="I347" s="105"/>
      <c r="J347" s="105"/>
      <c r="K347" s="136"/>
      <c r="L347" s="105"/>
      <c r="M347" s="105"/>
      <c r="N347" s="105"/>
      <c r="O347" s="105"/>
      <c r="P347" s="135"/>
      <c r="Q347" s="105"/>
      <c r="R347" s="136"/>
      <c r="S347" s="105"/>
      <c r="T347" s="135"/>
      <c r="U347" s="354"/>
      <c r="V347" s="353"/>
      <c r="W347" s="130"/>
      <c r="X347" s="130"/>
      <c r="Y347" s="403"/>
      <c r="Z347" s="404"/>
    </row>
    <row r="348" spans="1:26" s="133" customFormat="1" x14ac:dyDescent="0.25">
      <c r="A348" s="209"/>
      <c r="B348" s="161"/>
      <c r="C348" s="105"/>
      <c r="D348" s="105"/>
      <c r="E348" s="105"/>
      <c r="F348" s="105"/>
      <c r="G348" s="105"/>
      <c r="H348" s="105"/>
      <c r="I348" s="105"/>
      <c r="J348" s="105"/>
      <c r="K348" s="136"/>
      <c r="L348" s="105"/>
      <c r="M348" s="105"/>
      <c r="N348" s="105"/>
      <c r="O348" s="105"/>
      <c r="P348" s="135"/>
      <c r="Q348" s="105"/>
      <c r="R348" s="136"/>
      <c r="S348" s="105"/>
      <c r="T348" s="135"/>
      <c r="U348" s="354"/>
      <c r="V348" s="353"/>
      <c r="W348" s="130"/>
      <c r="X348" s="130"/>
      <c r="Y348" s="403"/>
      <c r="Z348" s="404"/>
    </row>
    <row r="349" spans="1:26" s="133" customFormat="1" x14ac:dyDescent="0.25">
      <c r="A349" s="209"/>
      <c r="B349" s="161"/>
      <c r="C349" s="105"/>
      <c r="D349" s="105"/>
      <c r="E349" s="105"/>
      <c r="F349" s="105"/>
      <c r="G349" s="105"/>
      <c r="H349" s="105"/>
      <c r="I349" s="105"/>
      <c r="J349" s="105"/>
      <c r="K349" s="136"/>
      <c r="L349" s="105"/>
      <c r="M349" s="105"/>
      <c r="N349" s="105"/>
      <c r="O349" s="105"/>
      <c r="P349" s="135"/>
      <c r="Q349" s="105"/>
      <c r="R349" s="136"/>
      <c r="S349" s="105"/>
      <c r="T349" s="135"/>
      <c r="U349" s="354"/>
      <c r="V349" s="353"/>
      <c r="W349" s="130"/>
      <c r="X349" s="130"/>
      <c r="Y349" s="403"/>
      <c r="Z349" s="404"/>
    </row>
    <row r="350" spans="1:26" s="133" customFormat="1" x14ac:dyDescent="0.25">
      <c r="A350" s="209"/>
      <c r="B350" s="161"/>
      <c r="C350" s="105"/>
      <c r="D350" s="105"/>
      <c r="E350" s="105"/>
      <c r="F350" s="105"/>
      <c r="G350" s="105"/>
      <c r="H350" s="105"/>
      <c r="I350" s="105"/>
      <c r="J350" s="105"/>
      <c r="K350" s="136"/>
      <c r="L350" s="105"/>
      <c r="M350" s="105"/>
      <c r="N350" s="105"/>
      <c r="O350" s="105"/>
      <c r="P350" s="135"/>
      <c r="Q350" s="105"/>
      <c r="R350" s="136"/>
      <c r="S350" s="105"/>
      <c r="T350" s="135"/>
      <c r="U350" s="354"/>
      <c r="V350" s="353"/>
      <c r="W350" s="130"/>
      <c r="X350" s="130"/>
      <c r="Y350" s="403"/>
      <c r="Z350" s="404"/>
    </row>
    <row r="351" spans="1:26" s="133" customFormat="1" x14ac:dyDescent="0.25">
      <c r="A351" s="209"/>
      <c r="B351" s="161"/>
      <c r="C351" s="105"/>
      <c r="D351" s="105"/>
      <c r="E351" s="105"/>
      <c r="F351" s="105"/>
      <c r="G351" s="105"/>
      <c r="H351" s="105"/>
      <c r="I351" s="105"/>
      <c r="J351" s="105"/>
      <c r="K351" s="136"/>
      <c r="L351" s="105"/>
      <c r="M351" s="105"/>
      <c r="N351" s="105"/>
      <c r="O351" s="105"/>
      <c r="P351" s="135"/>
      <c r="Q351" s="105"/>
      <c r="R351" s="136"/>
      <c r="S351" s="105"/>
      <c r="T351" s="135"/>
      <c r="U351" s="354"/>
      <c r="V351" s="353"/>
      <c r="W351" s="130"/>
      <c r="X351" s="130"/>
      <c r="Y351" s="403"/>
      <c r="Z351" s="404"/>
    </row>
    <row r="352" spans="1:26" s="133" customFormat="1" x14ac:dyDescent="0.25">
      <c r="A352" s="209"/>
      <c r="B352" s="161"/>
      <c r="C352" s="105"/>
      <c r="D352" s="105"/>
      <c r="E352" s="105"/>
      <c r="F352" s="105"/>
      <c r="G352" s="105"/>
      <c r="H352" s="105"/>
      <c r="I352" s="105"/>
      <c r="J352" s="105"/>
      <c r="K352" s="136"/>
      <c r="L352" s="105"/>
      <c r="M352" s="105"/>
      <c r="N352" s="105"/>
      <c r="O352" s="105"/>
      <c r="P352" s="135"/>
      <c r="Q352" s="105"/>
      <c r="R352" s="136"/>
      <c r="S352" s="105"/>
      <c r="T352" s="135"/>
      <c r="U352" s="354"/>
      <c r="V352" s="353"/>
      <c r="W352" s="130"/>
      <c r="X352" s="130"/>
      <c r="Y352" s="403"/>
      <c r="Z352" s="404"/>
    </row>
    <row r="353" spans="1:26" s="133" customFormat="1" x14ac:dyDescent="0.25">
      <c r="A353" s="209"/>
      <c r="B353" s="161"/>
      <c r="C353" s="105"/>
      <c r="D353" s="105"/>
      <c r="E353" s="105"/>
      <c r="F353" s="105"/>
      <c r="G353" s="105"/>
      <c r="H353" s="105"/>
      <c r="I353" s="105"/>
      <c r="J353" s="105"/>
      <c r="K353" s="136"/>
      <c r="L353" s="105"/>
      <c r="M353" s="105"/>
      <c r="N353" s="105"/>
      <c r="O353" s="105"/>
      <c r="P353" s="135"/>
      <c r="Q353" s="105"/>
      <c r="R353" s="136"/>
      <c r="S353" s="105"/>
      <c r="T353" s="135"/>
      <c r="U353" s="354"/>
      <c r="V353" s="353"/>
      <c r="W353" s="130"/>
      <c r="X353" s="130"/>
      <c r="Y353" s="403"/>
      <c r="Z353" s="404"/>
    </row>
    <row r="354" spans="1:26" s="133" customFormat="1" x14ac:dyDescent="0.25">
      <c r="A354" s="209"/>
      <c r="B354" s="161"/>
      <c r="C354" s="105"/>
      <c r="D354" s="105"/>
      <c r="E354" s="105"/>
      <c r="F354" s="105"/>
      <c r="G354" s="105"/>
      <c r="H354" s="105"/>
      <c r="I354" s="105"/>
      <c r="J354" s="105"/>
      <c r="K354" s="136"/>
      <c r="L354" s="105"/>
      <c r="M354" s="105"/>
      <c r="N354" s="105"/>
      <c r="O354" s="105"/>
      <c r="P354" s="135"/>
      <c r="Q354" s="105"/>
      <c r="R354" s="136"/>
      <c r="S354" s="105"/>
      <c r="T354" s="135"/>
      <c r="U354" s="354"/>
      <c r="V354" s="353"/>
      <c r="W354" s="130"/>
      <c r="X354" s="130"/>
      <c r="Y354" s="403"/>
      <c r="Z354" s="404"/>
    </row>
    <row r="355" spans="1:26" s="133" customFormat="1" x14ac:dyDescent="0.25">
      <c r="A355" s="209"/>
      <c r="B355" s="161"/>
      <c r="C355" s="105"/>
      <c r="D355" s="105"/>
      <c r="E355" s="105"/>
      <c r="F355" s="105"/>
      <c r="G355" s="105"/>
      <c r="H355" s="105"/>
      <c r="I355" s="105"/>
      <c r="J355" s="105"/>
      <c r="K355" s="136"/>
      <c r="L355" s="105"/>
      <c r="M355" s="105"/>
      <c r="N355" s="105"/>
      <c r="O355" s="105"/>
      <c r="P355" s="135"/>
      <c r="Q355" s="105"/>
      <c r="R355" s="136"/>
      <c r="S355" s="105"/>
      <c r="T355" s="135"/>
      <c r="U355" s="354"/>
      <c r="V355" s="353"/>
      <c r="W355" s="130"/>
      <c r="X355" s="130"/>
      <c r="Y355" s="403"/>
      <c r="Z355" s="404"/>
    </row>
    <row r="356" spans="1:26" s="133" customFormat="1" x14ac:dyDescent="0.25">
      <c r="A356" s="209"/>
      <c r="B356" s="161"/>
      <c r="C356" s="105"/>
      <c r="D356" s="105"/>
      <c r="E356" s="105"/>
      <c r="F356" s="105"/>
      <c r="G356" s="105"/>
      <c r="H356" s="105"/>
      <c r="I356" s="105"/>
      <c r="J356" s="105"/>
      <c r="K356" s="136"/>
      <c r="L356" s="105"/>
      <c r="M356" s="105"/>
      <c r="N356" s="105"/>
      <c r="O356" s="105"/>
      <c r="P356" s="135"/>
      <c r="Q356" s="105"/>
      <c r="R356" s="136"/>
      <c r="S356" s="105"/>
      <c r="T356" s="135"/>
      <c r="U356" s="354"/>
      <c r="V356" s="353"/>
      <c r="W356" s="130"/>
      <c r="X356" s="130"/>
      <c r="Y356" s="403"/>
      <c r="Z356" s="404"/>
    </row>
    <row r="357" spans="1:26" s="133" customFormat="1" x14ac:dyDescent="0.25">
      <c r="A357" s="209"/>
      <c r="B357" s="161"/>
      <c r="C357" s="105"/>
      <c r="D357" s="105"/>
      <c r="E357" s="105"/>
      <c r="F357" s="105"/>
      <c r="G357" s="105"/>
      <c r="H357" s="105"/>
      <c r="I357" s="105"/>
      <c r="J357" s="105"/>
      <c r="K357" s="136"/>
      <c r="L357" s="105"/>
      <c r="M357" s="105"/>
      <c r="N357" s="105"/>
      <c r="O357" s="105"/>
      <c r="P357" s="135"/>
      <c r="Q357" s="105"/>
      <c r="R357" s="136"/>
      <c r="S357" s="105"/>
      <c r="T357" s="135"/>
      <c r="U357" s="354"/>
      <c r="V357" s="353"/>
      <c r="W357" s="130"/>
      <c r="X357" s="130"/>
      <c r="Y357" s="403"/>
      <c r="Z357" s="404"/>
    </row>
    <row r="358" spans="1:26" s="133" customFormat="1" x14ac:dyDescent="0.25">
      <c r="A358" s="209"/>
      <c r="B358" s="161"/>
      <c r="C358" s="105"/>
      <c r="D358" s="105"/>
      <c r="E358" s="105"/>
      <c r="F358" s="105"/>
      <c r="G358" s="105"/>
      <c r="H358" s="105"/>
      <c r="I358" s="105"/>
      <c r="J358" s="105"/>
      <c r="K358" s="136"/>
      <c r="L358" s="105"/>
      <c r="M358" s="105"/>
      <c r="N358" s="105"/>
      <c r="O358" s="105"/>
      <c r="P358" s="135"/>
      <c r="Q358" s="105"/>
      <c r="R358" s="136"/>
      <c r="S358" s="105"/>
      <c r="T358" s="135"/>
      <c r="U358" s="354"/>
      <c r="V358" s="353"/>
      <c r="W358" s="130"/>
      <c r="X358" s="130"/>
      <c r="Y358" s="403"/>
      <c r="Z358" s="404"/>
    </row>
    <row r="359" spans="1:26" s="133" customFormat="1" x14ac:dyDescent="0.25">
      <c r="A359" s="209"/>
      <c r="B359" s="161"/>
      <c r="C359" s="105"/>
      <c r="D359" s="105"/>
      <c r="E359" s="105"/>
      <c r="F359" s="105"/>
      <c r="G359" s="105"/>
      <c r="H359" s="105"/>
      <c r="I359" s="105"/>
      <c r="J359" s="105"/>
      <c r="K359" s="136"/>
      <c r="L359" s="105"/>
      <c r="M359" s="105"/>
      <c r="N359" s="105"/>
      <c r="O359" s="105"/>
      <c r="P359" s="135"/>
      <c r="Q359" s="105"/>
      <c r="R359" s="136"/>
      <c r="S359" s="105"/>
      <c r="T359" s="135"/>
      <c r="U359" s="354"/>
      <c r="V359" s="353"/>
      <c r="W359" s="130"/>
      <c r="X359" s="130"/>
      <c r="Y359" s="403"/>
      <c r="Z359" s="404"/>
    </row>
    <row r="360" spans="1:26" s="133" customFormat="1" x14ac:dyDescent="0.25">
      <c r="A360" s="209"/>
      <c r="B360" s="161"/>
      <c r="C360" s="105"/>
      <c r="D360" s="105"/>
      <c r="E360" s="105"/>
      <c r="F360" s="105"/>
      <c r="G360" s="105"/>
      <c r="H360" s="105"/>
      <c r="I360" s="105"/>
      <c r="J360" s="105"/>
      <c r="K360" s="136"/>
      <c r="L360" s="105"/>
      <c r="M360" s="105"/>
      <c r="N360" s="105"/>
      <c r="O360" s="105"/>
      <c r="P360" s="135"/>
      <c r="Q360" s="105"/>
      <c r="R360" s="136"/>
      <c r="S360" s="105"/>
      <c r="T360" s="135"/>
      <c r="U360" s="354"/>
      <c r="V360" s="353"/>
      <c r="W360" s="130"/>
      <c r="X360" s="130"/>
      <c r="Y360" s="403"/>
      <c r="Z360" s="404"/>
    </row>
    <row r="361" spans="1:26" s="133" customFormat="1" x14ac:dyDescent="0.25">
      <c r="A361" s="209"/>
      <c r="B361" s="161"/>
      <c r="C361" s="105"/>
      <c r="D361" s="105"/>
      <c r="E361" s="105"/>
      <c r="F361" s="105"/>
      <c r="G361" s="105"/>
      <c r="H361" s="105"/>
      <c r="I361" s="105"/>
      <c r="J361" s="105"/>
      <c r="K361" s="136"/>
      <c r="L361" s="105"/>
      <c r="M361" s="105"/>
      <c r="N361" s="105"/>
      <c r="O361" s="105"/>
      <c r="P361" s="135"/>
      <c r="Q361" s="105"/>
      <c r="R361" s="136"/>
      <c r="S361" s="105"/>
      <c r="T361" s="135"/>
      <c r="U361" s="354"/>
      <c r="V361" s="353"/>
      <c r="W361" s="130"/>
      <c r="X361" s="130"/>
      <c r="Y361" s="403"/>
      <c r="Z361" s="404"/>
    </row>
    <row r="362" spans="1:26" s="133" customFormat="1" x14ac:dyDescent="0.25">
      <c r="A362" s="209"/>
      <c r="B362" s="161"/>
      <c r="C362" s="105"/>
      <c r="D362" s="105"/>
      <c r="E362" s="105"/>
      <c r="F362" s="105"/>
      <c r="G362" s="105"/>
      <c r="H362" s="105"/>
      <c r="I362" s="105"/>
      <c r="J362" s="105"/>
      <c r="K362" s="136"/>
      <c r="L362" s="105"/>
      <c r="M362" s="105"/>
      <c r="N362" s="105"/>
      <c r="O362" s="105"/>
      <c r="P362" s="135"/>
      <c r="Q362" s="105"/>
      <c r="R362" s="136"/>
      <c r="S362" s="105"/>
      <c r="T362" s="135"/>
      <c r="U362" s="354"/>
      <c r="V362" s="353"/>
      <c r="W362" s="130"/>
      <c r="X362" s="130"/>
      <c r="Y362" s="403"/>
      <c r="Z362" s="404"/>
    </row>
    <row r="363" spans="1:26" s="133" customFormat="1" x14ac:dyDescent="0.25">
      <c r="A363" s="209"/>
      <c r="B363" s="161"/>
      <c r="C363" s="105"/>
      <c r="D363" s="105"/>
      <c r="E363" s="105"/>
      <c r="F363" s="105"/>
      <c r="G363" s="105"/>
      <c r="H363" s="105"/>
      <c r="I363" s="105"/>
      <c r="J363" s="105"/>
      <c r="K363" s="136"/>
      <c r="L363" s="105"/>
      <c r="M363" s="105"/>
      <c r="N363" s="105"/>
      <c r="O363" s="105"/>
      <c r="P363" s="135"/>
      <c r="Q363" s="105"/>
      <c r="R363" s="136"/>
      <c r="S363" s="105"/>
      <c r="T363" s="135"/>
      <c r="U363" s="354"/>
      <c r="V363" s="353"/>
      <c r="W363" s="130"/>
      <c r="X363" s="130"/>
      <c r="Y363" s="403"/>
      <c r="Z363" s="404"/>
    </row>
    <row r="364" spans="1:26" s="133" customFormat="1" x14ac:dyDescent="0.25">
      <c r="A364" s="209"/>
      <c r="B364" s="161"/>
      <c r="C364" s="105"/>
      <c r="D364" s="105"/>
      <c r="E364" s="105"/>
      <c r="F364" s="105"/>
      <c r="G364" s="105"/>
      <c r="H364" s="105"/>
      <c r="I364" s="105"/>
      <c r="J364" s="105"/>
      <c r="K364" s="136"/>
      <c r="L364" s="105"/>
      <c r="M364" s="105"/>
      <c r="N364" s="105"/>
      <c r="O364" s="105"/>
      <c r="P364" s="135"/>
      <c r="Q364" s="105"/>
      <c r="R364" s="136"/>
      <c r="S364" s="105"/>
      <c r="T364" s="135"/>
      <c r="U364" s="354"/>
      <c r="V364" s="353"/>
      <c r="W364" s="130"/>
      <c r="X364" s="130"/>
      <c r="Y364" s="403"/>
      <c r="Z364" s="404"/>
    </row>
    <row r="365" spans="1:26" s="133" customFormat="1" x14ac:dyDescent="0.25">
      <c r="A365" s="209"/>
      <c r="B365" s="161"/>
      <c r="C365" s="105"/>
      <c r="D365" s="105"/>
      <c r="E365" s="105"/>
      <c r="F365" s="105"/>
      <c r="G365" s="105"/>
      <c r="H365" s="105"/>
      <c r="I365" s="105"/>
      <c r="J365" s="105"/>
      <c r="K365" s="136"/>
      <c r="L365" s="105"/>
      <c r="M365" s="105"/>
      <c r="N365" s="105"/>
      <c r="O365" s="105"/>
      <c r="P365" s="135"/>
      <c r="Q365" s="105"/>
      <c r="R365" s="136"/>
      <c r="S365" s="105"/>
      <c r="T365" s="135"/>
      <c r="U365" s="354"/>
      <c r="V365" s="353"/>
      <c r="W365" s="130"/>
      <c r="X365" s="130"/>
      <c r="Y365" s="403"/>
      <c r="Z365" s="404"/>
    </row>
    <row r="366" spans="1:26" s="133" customFormat="1" x14ac:dyDescent="0.25">
      <c r="A366" s="209"/>
      <c r="B366" s="161"/>
      <c r="C366" s="105"/>
      <c r="D366" s="105"/>
      <c r="E366" s="105"/>
      <c r="F366" s="105"/>
      <c r="G366" s="105"/>
      <c r="H366" s="105"/>
      <c r="I366" s="105"/>
      <c r="J366" s="105"/>
      <c r="K366" s="136"/>
      <c r="L366" s="105"/>
      <c r="M366" s="105"/>
      <c r="N366" s="105"/>
      <c r="O366" s="105"/>
      <c r="P366" s="135"/>
      <c r="Q366" s="105"/>
      <c r="R366" s="136"/>
      <c r="S366" s="105"/>
      <c r="T366" s="135"/>
      <c r="U366" s="354"/>
      <c r="V366" s="353"/>
      <c r="W366" s="130"/>
      <c r="X366" s="130"/>
      <c r="Y366" s="403"/>
      <c r="Z366" s="404"/>
    </row>
    <row r="367" spans="1:26" s="133" customFormat="1" x14ac:dyDescent="0.25">
      <c r="A367" s="209"/>
      <c r="B367" s="161"/>
      <c r="C367" s="105"/>
      <c r="D367" s="105"/>
      <c r="E367" s="105"/>
      <c r="F367" s="105"/>
      <c r="G367" s="105"/>
      <c r="H367" s="105"/>
      <c r="I367" s="105"/>
      <c r="J367" s="105"/>
      <c r="K367" s="136"/>
      <c r="L367" s="105"/>
      <c r="M367" s="105"/>
      <c r="N367" s="105"/>
      <c r="O367" s="105"/>
      <c r="P367" s="135"/>
      <c r="Q367" s="105"/>
      <c r="R367" s="136"/>
      <c r="S367" s="105"/>
      <c r="T367" s="135"/>
      <c r="U367" s="354"/>
      <c r="V367" s="353"/>
      <c r="W367" s="130"/>
      <c r="X367" s="130"/>
      <c r="Y367" s="403"/>
      <c r="Z367" s="404"/>
    </row>
    <row r="368" spans="1:26" s="133" customFormat="1" x14ac:dyDescent="0.25">
      <c r="A368" s="209"/>
      <c r="B368" s="161"/>
      <c r="C368" s="105"/>
      <c r="D368" s="105"/>
      <c r="E368" s="105"/>
      <c r="F368" s="105"/>
      <c r="G368" s="105"/>
      <c r="H368" s="105"/>
      <c r="I368" s="105"/>
      <c r="J368" s="105"/>
      <c r="K368" s="136"/>
      <c r="L368" s="105"/>
      <c r="M368" s="105"/>
      <c r="N368" s="105"/>
      <c r="O368" s="105"/>
      <c r="P368" s="135"/>
      <c r="Q368" s="105"/>
      <c r="R368" s="136"/>
      <c r="S368" s="105"/>
      <c r="T368" s="135"/>
      <c r="U368" s="354"/>
      <c r="V368" s="353"/>
      <c r="W368" s="130"/>
      <c r="X368" s="130"/>
      <c r="Y368" s="403"/>
      <c r="Z368" s="404"/>
    </row>
    <row r="369" spans="1:26" s="133" customFormat="1" x14ac:dyDescent="0.25">
      <c r="A369" s="209"/>
      <c r="B369" s="161"/>
      <c r="C369" s="105"/>
      <c r="D369" s="105"/>
      <c r="E369" s="105"/>
      <c r="F369" s="105"/>
      <c r="G369" s="105"/>
      <c r="H369" s="105"/>
      <c r="I369" s="105"/>
      <c r="J369" s="105"/>
      <c r="K369" s="136"/>
      <c r="L369" s="105"/>
      <c r="M369" s="105"/>
      <c r="N369" s="105"/>
      <c r="O369" s="105"/>
      <c r="P369" s="135"/>
      <c r="Q369" s="105"/>
      <c r="R369" s="136"/>
      <c r="S369" s="105"/>
      <c r="T369" s="135"/>
      <c r="U369" s="354"/>
      <c r="V369" s="353"/>
      <c r="W369" s="130"/>
      <c r="X369" s="130"/>
      <c r="Y369" s="403"/>
      <c r="Z369" s="404"/>
    </row>
    <row r="370" spans="1:26" s="133" customFormat="1" x14ac:dyDescent="0.25">
      <c r="A370" s="209"/>
      <c r="B370" s="161"/>
      <c r="C370" s="105"/>
      <c r="D370" s="105"/>
      <c r="E370" s="105"/>
      <c r="F370" s="105"/>
      <c r="G370" s="105"/>
      <c r="H370" s="105"/>
      <c r="I370" s="105"/>
      <c r="J370" s="105"/>
      <c r="K370" s="136"/>
      <c r="L370" s="105"/>
      <c r="M370" s="105"/>
      <c r="N370" s="105"/>
      <c r="O370" s="105"/>
      <c r="P370" s="135"/>
      <c r="Q370" s="105"/>
      <c r="R370" s="136"/>
      <c r="S370" s="105"/>
      <c r="T370" s="135"/>
      <c r="U370" s="354"/>
      <c r="V370" s="353"/>
      <c r="W370" s="130"/>
      <c r="X370" s="130"/>
      <c r="Y370" s="403"/>
      <c r="Z370" s="404"/>
    </row>
    <row r="371" spans="1:26" s="133" customFormat="1" x14ac:dyDescent="0.25">
      <c r="A371" s="209"/>
      <c r="B371" s="161"/>
      <c r="C371" s="105"/>
      <c r="D371" s="105"/>
      <c r="E371" s="105"/>
      <c r="F371" s="105"/>
      <c r="G371" s="105"/>
      <c r="H371" s="105"/>
      <c r="I371" s="105"/>
      <c r="J371" s="105"/>
      <c r="K371" s="136"/>
      <c r="L371" s="105"/>
      <c r="M371" s="105"/>
      <c r="N371" s="105"/>
      <c r="O371" s="105"/>
      <c r="P371" s="135"/>
      <c r="Q371" s="105"/>
      <c r="R371" s="136"/>
      <c r="S371" s="105"/>
      <c r="T371" s="135"/>
      <c r="U371" s="354"/>
      <c r="V371" s="353"/>
      <c r="W371" s="130"/>
      <c r="X371" s="130"/>
      <c r="Y371" s="403"/>
      <c r="Z371" s="404"/>
    </row>
    <row r="372" spans="1:26" s="133" customFormat="1" x14ac:dyDescent="0.25">
      <c r="A372" s="209"/>
      <c r="B372" s="161"/>
      <c r="C372" s="105"/>
      <c r="D372" s="105"/>
      <c r="E372" s="105"/>
      <c r="F372" s="105"/>
      <c r="G372" s="105"/>
      <c r="H372" s="105"/>
      <c r="I372" s="105"/>
      <c r="J372" s="105"/>
      <c r="K372" s="136"/>
      <c r="L372" s="105"/>
      <c r="M372" s="105"/>
      <c r="N372" s="105"/>
      <c r="O372" s="105"/>
      <c r="P372" s="135"/>
      <c r="Q372" s="105"/>
      <c r="R372" s="136"/>
      <c r="S372" s="105"/>
      <c r="T372" s="135"/>
      <c r="U372" s="354"/>
      <c r="V372" s="353"/>
      <c r="W372" s="130"/>
      <c r="X372" s="130"/>
      <c r="Y372" s="403"/>
      <c r="Z372" s="404"/>
    </row>
    <row r="373" spans="1:26" s="133" customFormat="1" x14ac:dyDescent="0.25">
      <c r="A373" s="209"/>
      <c r="B373" s="161"/>
      <c r="C373" s="105"/>
      <c r="D373" s="105"/>
      <c r="E373" s="105"/>
      <c r="F373" s="105"/>
      <c r="G373" s="105"/>
      <c r="H373" s="105"/>
      <c r="I373" s="105"/>
      <c r="J373" s="105"/>
      <c r="K373" s="136"/>
      <c r="L373" s="105"/>
      <c r="M373" s="105"/>
      <c r="N373" s="105"/>
      <c r="O373" s="105"/>
      <c r="P373" s="135"/>
      <c r="Q373" s="105"/>
      <c r="R373" s="136"/>
      <c r="S373" s="105"/>
      <c r="T373" s="135"/>
      <c r="U373" s="354"/>
      <c r="V373" s="353"/>
      <c r="W373" s="130"/>
      <c r="X373" s="130"/>
      <c r="Y373" s="403"/>
      <c r="Z373" s="404"/>
    </row>
    <row r="374" spans="1:26" s="133" customFormat="1" x14ac:dyDescent="0.25">
      <c r="A374" s="209"/>
      <c r="B374" s="161"/>
      <c r="C374" s="105"/>
      <c r="D374" s="105"/>
      <c r="E374" s="105"/>
      <c r="F374" s="105"/>
      <c r="G374" s="105"/>
      <c r="H374" s="105"/>
      <c r="I374" s="105"/>
      <c r="J374" s="105"/>
      <c r="K374" s="136"/>
      <c r="L374" s="105"/>
      <c r="M374" s="105"/>
      <c r="N374" s="105"/>
      <c r="O374" s="105"/>
      <c r="P374" s="135"/>
      <c r="Q374" s="105"/>
      <c r="R374" s="136"/>
      <c r="S374" s="105"/>
      <c r="T374" s="135"/>
      <c r="U374" s="354"/>
      <c r="V374" s="353"/>
      <c r="W374" s="130"/>
      <c r="X374" s="130"/>
      <c r="Y374" s="403"/>
      <c r="Z374" s="404"/>
    </row>
    <row r="375" spans="1:26" s="133" customFormat="1" x14ac:dyDescent="0.25">
      <c r="A375" s="209"/>
      <c r="B375" s="161"/>
      <c r="C375" s="105"/>
      <c r="D375" s="105"/>
      <c r="E375" s="105"/>
      <c r="F375" s="105"/>
      <c r="G375" s="105"/>
      <c r="H375" s="105"/>
      <c r="I375" s="105"/>
      <c r="J375" s="105"/>
      <c r="K375" s="136"/>
      <c r="L375" s="105"/>
      <c r="M375" s="105"/>
      <c r="N375" s="105"/>
      <c r="O375" s="105"/>
      <c r="P375" s="135"/>
      <c r="Q375" s="105"/>
      <c r="R375" s="136"/>
      <c r="S375" s="105"/>
      <c r="T375" s="135"/>
      <c r="U375" s="354"/>
      <c r="V375" s="353"/>
      <c r="W375" s="130"/>
      <c r="X375" s="130"/>
      <c r="Y375" s="403"/>
      <c r="Z375" s="404"/>
    </row>
    <row r="376" spans="1:26" s="133" customFormat="1" x14ac:dyDescent="0.25">
      <c r="A376" s="209"/>
      <c r="B376" s="161"/>
      <c r="C376" s="105"/>
      <c r="D376" s="105"/>
      <c r="E376" s="105"/>
      <c r="F376" s="105"/>
      <c r="G376" s="105"/>
      <c r="H376" s="105"/>
      <c r="I376" s="105"/>
      <c r="J376" s="105"/>
      <c r="K376" s="136"/>
      <c r="L376" s="105"/>
      <c r="M376" s="105"/>
      <c r="N376" s="105"/>
      <c r="O376" s="105"/>
      <c r="P376" s="135"/>
      <c r="Q376" s="105"/>
      <c r="R376" s="136"/>
      <c r="S376" s="105"/>
      <c r="T376" s="135"/>
      <c r="U376" s="354"/>
      <c r="V376" s="353"/>
      <c r="W376" s="130"/>
      <c r="X376" s="130"/>
      <c r="Y376" s="403"/>
      <c r="Z376" s="404"/>
    </row>
    <row r="377" spans="1:26" s="133" customFormat="1" x14ac:dyDescent="0.25">
      <c r="A377" s="209"/>
      <c r="B377" s="161"/>
      <c r="C377" s="105"/>
      <c r="D377" s="105"/>
      <c r="E377" s="105"/>
      <c r="F377" s="105"/>
      <c r="G377" s="105"/>
      <c r="H377" s="105"/>
      <c r="I377" s="105"/>
      <c r="J377" s="105"/>
      <c r="K377" s="136"/>
      <c r="L377" s="105"/>
      <c r="M377" s="105"/>
      <c r="N377" s="105"/>
      <c r="O377" s="105"/>
      <c r="P377" s="135"/>
      <c r="Q377" s="105"/>
      <c r="R377" s="136"/>
      <c r="S377" s="105"/>
      <c r="T377" s="135"/>
      <c r="U377" s="354"/>
      <c r="V377" s="353"/>
      <c r="W377" s="130"/>
      <c r="X377" s="130"/>
      <c r="Y377" s="403"/>
      <c r="Z377" s="404"/>
    </row>
    <row r="378" spans="1:26" s="133" customFormat="1" x14ac:dyDescent="0.25">
      <c r="A378" s="209"/>
      <c r="B378" s="161"/>
      <c r="C378" s="105"/>
      <c r="D378" s="105"/>
      <c r="E378" s="105"/>
      <c r="F378" s="105"/>
      <c r="G378" s="105"/>
      <c r="H378" s="105"/>
      <c r="I378" s="105"/>
      <c r="J378" s="105"/>
      <c r="K378" s="136"/>
      <c r="L378" s="105"/>
      <c r="M378" s="105"/>
      <c r="N378" s="105"/>
      <c r="O378" s="105"/>
      <c r="P378" s="135"/>
      <c r="Q378" s="105"/>
      <c r="R378" s="136"/>
      <c r="S378" s="105"/>
      <c r="T378" s="135"/>
      <c r="U378" s="354"/>
      <c r="V378" s="353"/>
      <c r="W378" s="130"/>
      <c r="X378" s="130"/>
      <c r="Y378" s="403"/>
      <c r="Z378" s="404"/>
    </row>
    <row r="379" spans="1:26" s="133" customFormat="1" x14ac:dyDescent="0.25">
      <c r="A379" s="209"/>
      <c r="B379" s="161"/>
      <c r="C379" s="105"/>
      <c r="D379" s="105"/>
      <c r="E379" s="105"/>
      <c r="F379" s="105"/>
      <c r="G379" s="105"/>
      <c r="H379" s="105"/>
      <c r="I379" s="105"/>
      <c r="J379" s="105"/>
      <c r="K379" s="136"/>
      <c r="L379" s="105"/>
      <c r="M379" s="105"/>
      <c r="N379" s="105"/>
      <c r="O379" s="105"/>
      <c r="P379" s="135"/>
      <c r="Q379" s="105"/>
      <c r="R379" s="136"/>
      <c r="S379" s="105"/>
      <c r="T379" s="135"/>
      <c r="U379" s="354"/>
      <c r="V379" s="353"/>
      <c r="W379" s="130"/>
      <c r="X379" s="130"/>
      <c r="Y379" s="403"/>
      <c r="Z379" s="404"/>
    </row>
    <row r="380" spans="1:26" s="133" customFormat="1" x14ac:dyDescent="0.25">
      <c r="A380" s="209"/>
      <c r="B380" s="161"/>
      <c r="C380" s="105"/>
      <c r="D380" s="105"/>
      <c r="E380" s="105"/>
      <c r="F380" s="105"/>
      <c r="G380" s="105"/>
      <c r="H380" s="105"/>
      <c r="I380" s="105"/>
      <c r="J380" s="105"/>
      <c r="K380" s="136"/>
      <c r="L380" s="105"/>
      <c r="M380" s="105"/>
      <c r="N380" s="105"/>
      <c r="O380" s="105"/>
      <c r="P380" s="135"/>
      <c r="Q380" s="105"/>
      <c r="R380" s="136"/>
      <c r="S380" s="105"/>
      <c r="T380" s="135"/>
      <c r="U380" s="354"/>
      <c r="V380" s="353"/>
      <c r="W380" s="130"/>
      <c r="X380" s="130"/>
      <c r="Y380" s="403"/>
      <c r="Z380" s="404"/>
    </row>
    <row r="381" spans="1:26" s="133" customFormat="1" x14ac:dyDescent="0.25">
      <c r="A381" s="209"/>
      <c r="B381" s="161"/>
      <c r="C381" s="105"/>
      <c r="D381" s="105"/>
      <c r="E381" s="105"/>
      <c r="F381" s="105"/>
      <c r="G381" s="105"/>
      <c r="H381" s="105"/>
      <c r="I381" s="105"/>
      <c r="J381" s="105"/>
      <c r="K381" s="136"/>
      <c r="L381" s="105"/>
      <c r="M381" s="105"/>
      <c r="N381" s="105"/>
      <c r="O381" s="105"/>
      <c r="P381" s="135"/>
      <c r="Q381" s="105"/>
      <c r="R381" s="136"/>
      <c r="S381" s="105"/>
      <c r="T381" s="135"/>
      <c r="U381" s="354"/>
      <c r="V381" s="353"/>
      <c r="W381" s="130"/>
      <c r="X381" s="130"/>
      <c r="Y381" s="403"/>
      <c r="Z381" s="404"/>
    </row>
    <row r="382" spans="1:26" s="133" customFormat="1" x14ac:dyDescent="0.25">
      <c r="A382" s="209"/>
      <c r="B382" s="161"/>
      <c r="C382" s="105"/>
      <c r="D382" s="105"/>
      <c r="E382" s="105"/>
      <c r="F382" s="105"/>
      <c r="G382" s="105"/>
      <c r="H382" s="105"/>
      <c r="I382" s="105"/>
      <c r="J382" s="105"/>
      <c r="K382" s="136"/>
      <c r="L382" s="105"/>
      <c r="M382" s="105"/>
      <c r="N382" s="105"/>
      <c r="O382" s="105"/>
      <c r="P382" s="135"/>
      <c r="Q382" s="105"/>
      <c r="R382" s="136"/>
      <c r="S382" s="105"/>
      <c r="T382" s="135"/>
      <c r="U382" s="354"/>
      <c r="V382" s="353"/>
      <c r="W382" s="130"/>
      <c r="X382" s="130"/>
      <c r="Y382" s="403"/>
      <c r="Z382" s="404"/>
    </row>
    <row r="383" spans="1:26" s="133" customFormat="1" x14ac:dyDescent="0.25">
      <c r="A383" s="209"/>
      <c r="B383" s="161"/>
      <c r="C383" s="105"/>
      <c r="D383" s="105"/>
      <c r="E383" s="105"/>
      <c r="F383" s="105"/>
      <c r="G383" s="105"/>
      <c r="H383" s="105"/>
      <c r="I383" s="105"/>
      <c r="J383" s="105"/>
      <c r="K383" s="136"/>
      <c r="L383" s="105"/>
      <c r="M383" s="105"/>
      <c r="N383" s="105"/>
      <c r="O383" s="105"/>
      <c r="P383" s="135"/>
      <c r="Q383" s="105"/>
      <c r="R383" s="136"/>
      <c r="S383" s="105"/>
      <c r="T383" s="135"/>
      <c r="U383" s="354"/>
      <c r="V383" s="353"/>
      <c r="W383" s="130"/>
      <c r="X383" s="130"/>
      <c r="Y383" s="403"/>
      <c r="Z383" s="404"/>
    </row>
    <row r="384" spans="1:26" s="133" customFormat="1" x14ac:dyDescent="0.25">
      <c r="A384" s="209"/>
      <c r="B384" s="161"/>
      <c r="C384" s="105"/>
      <c r="D384" s="105"/>
      <c r="E384" s="105"/>
      <c r="F384" s="105"/>
      <c r="G384" s="105"/>
      <c r="H384" s="105"/>
      <c r="I384" s="105"/>
      <c r="J384" s="105"/>
      <c r="K384" s="136"/>
      <c r="L384" s="105"/>
      <c r="M384" s="105"/>
      <c r="N384" s="105"/>
      <c r="O384" s="105"/>
      <c r="P384" s="135"/>
      <c r="Q384" s="105"/>
      <c r="R384" s="136"/>
      <c r="S384" s="105"/>
      <c r="T384" s="135"/>
      <c r="U384" s="354"/>
      <c r="V384" s="353"/>
      <c r="W384" s="130"/>
      <c r="X384" s="130"/>
      <c r="Y384" s="403"/>
      <c r="Z384" s="404"/>
    </row>
    <row r="385" spans="1:26" s="133" customFormat="1" x14ac:dyDescent="0.25">
      <c r="A385" s="209"/>
      <c r="B385" s="161"/>
      <c r="C385" s="105"/>
      <c r="D385" s="105"/>
      <c r="E385" s="105"/>
      <c r="F385" s="105"/>
      <c r="G385" s="105"/>
      <c r="H385" s="105"/>
      <c r="I385" s="105"/>
      <c r="J385" s="105"/>
      <c r="K385" s="136"/>
      <c r="L385" s="105"/>
      <c r="M385" s="105"/>
      <c r="N385" s="105"/>
      <c r="O385" s="105"/>
      <c r="P385" s="135"/>
      <c r="Q385" s="105"/>
      <c r="R385" s="136"/>
      <c r="S385" s="105"/>
      <c r="T385" s="135"/>
      <c r="U385" s="354"/>
      <c r="V385" s="353"/>
      <c r="W385" s="130"/>
      <c r="X385" s="130"/>
      <c r="Y385" s="403"/>
      <c r="Z385" s="404"/>
    </row>
    <row r="386" spans="1:26" s="133" customFormat="1" x14ac:dyDescent="0.25">
      <c r="A386" s="209"/>
      <c r="B386" s="161"/>
      <c r="C386" s="105"/>
      <c r="D386" s="105"/>
      <c r="E386" s="105"/>
      <c r="F386" s="105"/>
      <c r="G386" s="105"/>
      <c r="H386" s="105"/>
      <c r="I386" s="105"/>
      <c r="J386" s="105"/>
      <c r="K386" s="136"/>
      <c r="L386" s="105"/>
      <c r="M386" s="105"/>
      <c r="N386" s="105"/>
      <c r="O386" s="105"/>
      <c r="P386" s="135"/>
      <c r="Q386" s="105"/>
      <c r="R386" s="136"/>
      <c r="S386" s="105"/>
      <c r="T386" s="135"/>
      <c r="U386" s="354"/>
      <c r="V386" s="353"/>
      <c r="W386" s="130"/>
      <c r="X386" s="130"/>
      <c r="Y386" s="403"/>
      <c r="Z386" s="404"/>
    </row>
    <row r="387" spans="1:26" s="133" customFormat="1" x14ac:dyDescent="0.25">
      <c r="A387" s="209"/>
      <c r="B387" s="161"/>
      <c r="C387" s="105"/>
      <c r="D387" s="105"/>
      <c r="E387" s="105"/>
      <c r="F387" s="105"/>
      <c r="G387" s="105"/>
      <c r="H387" s="105"/>
      <c r="I387" s="105"/>
      <c r="J387" s="105"/>
      <c r="K387" s="136"/>
      <c r="L387" s="105"/>
      <c r="M387" s="105"/>
      <c r="N387" s="105"/>
      <c r="O387" s="105"/>
      <c r="P387" s="135"/>
      <c r="Q387" s="105"/>
      <c r="R387" s="136"/>
      <c r="S387" s="105"/>
      <c r="T387" s="135"/>
      <c r="U387" s="354"/>
      <c r="V387" s="353"/>
      <c r="W387" s="130"/>
      <c r="X387" s="130"/>
      <c r="Y387" s="403"/>
      <c r="Z387" s="404"/>
    </row>
    <row r="388" spans="1:26" s="133" customFormat="1" x14ac:dyDescent="0.25">
      <c r="A388" s="209"/>
      <c r="B388" s="161"/>
      <c r="C388" s="105"/>
      <c r="D388" s="105"/>
      <c r="E388" s="105"/>
      <c r="F388" s="105"/>
      <c r="G388" s="105"/>
      <c r="H388" s="105"/>
      <c r="I388" s="105"/>
      <c r="J388" s="105"/>
      <c r="K388" s="136"/>
      <c r="L388" s="105"/>
      <c r="M388" s="105"/>
      <c r="N388" s="105"/>
      <c r="O388" s="105"/>
      <c r="P388" s="135"/>
      <c r="Q388" s="105"/>
      <c r="R388" s="136"/>
      <c r="S388" s="105"/>
      <c r="T388" s="135"/>
      <c r="U388" s="354"/>
      <c r="V388" s="353"/>
      <c r="W388" s="130"/>
      <c r="X388" s="130"/>
      <c r="Y388" s="403"/>
      <c r="Z388" s="404"/>
    </row>
    <row r="389" spans="1:26" s="133" customFormat="1" x14ac:dyDescent="0.25">
      <c r="A389" s="209"/>
      <c r="B389" s="161"/>
      <c r="C389" s="105"/>
      <c r="D389" s="105"/>
      <c r="E389" s="105"/>
      <c r="F389" s="105"/>
      <c r="G389" s="105"/>
      <c r="H389" s="105"/>
      <c r="I389" s="105"/>
      <c r="J389" s="105"/>
      <c r="K389" s="136"/>
      <c r="L389" s="105"/>
      <c r="M389" s="105"/>
      <c r="N389" s="105"/>
      <c r="O389" s="105"/>
      <c r="P389" s="135"/>
      <c r="Q389" s="105"/>
      <c r="R389" s="136"/>
      <c r="S389" s="105"/>
      <c r="T389" s="135"/>
      <c r="U389" s="354"/>
      <c r="V389" s="353"/>
      <c r="W389" s="130"/>
      <c r="X389" s="130"/>
      <c r="Y389" s="403"/>
      <c r="Z389" s="404"/>
    </row>
    <row r="390" spans="1:26" s="133" customFormat="1" x14ac:dyDescent="0.25">
      <c r="A390" s="209"/>
      <c r="B390" s="161"/>
      <c r="C390" s="105"/>
      <c r="D390" s="105"/>
      <c r="E390" s="105"/>
      <c r="F390" s="105"/>
      <c r="G390" s="105"/>
      <c r="H390" s="105"/>
      <c r="I390" s="105"/>
      <c r="J390" s="105"/>
      <c r="K390" s="136"/>
      <c r="L390" s="105"/>
      <c r="M390" s="105"/>
      <c r="N390" s="105"/>
      <c r="O390" s="105"/>
      <c r="P390" s="135"/>
      <c r="Q390" s="105"/>
      <c r="R390" s="136"/>
      <c r="S390" s="105"/>
      <c r="T390" s="135"/>
      <c r="U390" s="354"/>
      <c r="V390" s="353"/>
      <c r="W390" s="130"/>
      <c r="X390" s="130"/>
      <c r="Y390" s="403"/>
      <c r="Z390" s="404"/>
    </row>
    <row r="391" spans="1:26" s="133" customFormat="1" x14ac:dyDescent="0.25">
      <c r="A391" s="209"/>
      <c r="B391" s="161"/>
      <c r="C391" s="105"/>
      <c r="D391" s="105"/>
      <c r="E391" s="105"/>
      <c r="F391" s="105"/>
      <c r="G391" s="105"/>
      <c r="H391" s="105"/>
      <c r="I391" s="105"/>
      <c r="J391" s="105"/>
      <c r="K391" s="136"/>
      <c r="L391" s="105"/>
      <c r="M391" s="105"/>
      <c r="N391" s="105"/>
      <c r="O391" s="105"/>
      <c r="P391" s="135"/>
      <c r="Q391" s="105"/>
      <c r="R391" s="136"/>
      <c r="S391" s="105"/>
      <c r="T391" s="135"/>
      <c r="U391" s="354"/>
      <c r="V391" s="353"/>
      <c r="W391" s="130"/>
      <c r="X391" s="130"/>
      <c r="Y391" s="403"/>
      <c r="Z391" s="404"/>
    </row>
    <row r="392" spans="1:26" s="133" customFormat="1" x14ac:dyDescent="0.25">
      <c r="A392" s="209"/>
      <c r="B392" s="161"/>
      <c r="C392" s="105"/>
      <c r="D392" s="105"/>
      <c r="E392" s="105"/>
      <c r="F392" s="105"/>
      <c r="G392" s="105"/>
      <c r="H392" s="105"/>
      <c r="I392" s="105"/>
      <c r="J392" s="105"/>
      <c r="K392" s="136"/>
      <c r="L392" s="105"/>
      <c r="M392" s="105"/>
      <c r="N392" s="105"/>
      <c r="O392" s="105"/>
      <c r="P392" s="135"/>
      <c r="Q392" s="105"/>
      <c r="R392" s="136"/>
      <c r="S392" s="105"/>
      <c r="T392" s="135"/>
      <c r="U392" s="354"/>
      <c r="V392" s="353"/>
      <c r="W392" s="130"/>
      <c r="X392" s="130"/>
      <c r="Y392" s="403"/>
      <c r="Z392" s="404"/>
    </row>
    <row r="393" spans="1:26" s="133" customFormat="1" x14ac:dyDescent="0.25">
      <c r="A393" s="209"/>
      <c r="B393" s="161"/>
      <c r="C393" s="105"/>
      <c r="D393" s="105"/>
      <c r="E393" s="105"/>
      <c r="F393" s="105"/>
      <c r="G393" s="105"/>
      <c r="H393" s="105"/>
      <c r="I393" s="105"/>
      <c r="J393" s="105"/>
      <c r="K393" s="136"/>
      <c r="L393" s="105"/>
      <c r="M393" s="105"/>
      <c r="N393" s="105"/>
      <c r="O393" s="105"/>
      <c r="P393" s="135"/>
      <c r="Q393" s="105"/>
      <c r="R393" s="136"/>
      <c r="S393" s="105"/>
      <c r="T393" s="135"/>
      <c r="U393" s="354"/>
      <c r="V393" s="353"/>
      <c r="W393" s="130"/>
      <c r="X393" s="130"/>
      <c r="Y393" s="403"/>
      <c r="Z393" s="404"/>
    </row>
    <row r="394" spans="1:26" s="133" customFormat="1" x14ac:dyDescent="0.25">
      <c r="A394" s="209"/>
      <c r="B394" s="161"/>
      <c r="C394" s="105"/>
      <c r="D394" s="105"/>
      <c r="E394" s="105"/>
      <c r="F394" s="105"/>
      <c r="G394" s="105"/>
      <c r="H394" s="105"/>
      <c r="I394" s="105"/>
      <c r="J394" s="105"/>
      <c r="K394" s="136"/>
      <c r="L394" s="105"/>
      <c r="M394" s="105"/>
      <c r="N394" s="105"/>
      <c r="O394" s="105"/>
      <c r="P394" s="135"/>
      <c r="Q394" s="105"/>
      <c r="R394" s="136"/>
      <c r="S394" s="105"/>
      <c r="T394" s="135"/>
      <c r="U394" s="354"/>
      <c r="V394" s="353"/>
      <c r="W394" s="130"/>
      <c r="X394" s="130"/>
      <c r="Y394" s="403"/>
      <c r="Z394" s="404"/>
    </row>
    <row r="395" spans="1:26" s="133" customFormat="1" x14ac:dyDescent="0.25">
      <c r="A395" s="209"/>
      <c r="B395" s="161"/>
      <c r="C395" s="105"/>
      <c r="D395" s="105"/>
      <c r="E395" s="105"/>
      <c r="F395" s="105"/>
      <c r="G395" s="105"/>
      <c r="H395" s="105"/>
      <c r="I395" s="105"/>
      <c r="J395" s="105"/>
      <c r="K395" s="136"/>
      <c r="L395" s="105"/>
      <c r="M395" s="105"/>
      <c r="N395" s="105"/>
      <c r="O395" s="105"/>
      <c r="P395" s="135"/>
      <c r="Q395" s="105"/>
      <c r="R395" s="136"/>
      <c r="S395" s="105"/>
      <c r="T395" s="135"/>
      <c r="U395" s="354"/>
      <c r="V395" s="353"/>
      <c r="W395" s="130"/>
      <c r="X395" s="130"/>
      <c r="Y395" s="403"/>
      <c r="Z395" s="404"/>
    </row>
    <row r="396" spans="1:26" s="133" customFormat="1" x14ac:dyDescent="0.25">
      <c r="A396" s="209"/>
      <c r="B396" s="161"/>
      <c r="C396" s="105"/>
      <c r="D396" s="105"/>
      <c r="E396" s="105"/>
      <c r="F396" s="105"/>
      <c r="G396" s="105"/>
      <c r="H396" s="105"/>
      <c r="I396" s="105"/>
      <c r="J396" s="105"/>
      <c r="K396" s="136"/>
      <c r="L396" s="105"/>
      <c r="M396" s="105"/>
      <c r="N396" s="105"/>
      <c r="O396" s="105"/>
      <c r="P396" s="135"/>
      <c r="Q396" s="105"/>
      <c r="R396" s="136"/>
      <c r="S396" s="105"/>
      <c r="T396" s="135"/>
      <c r="U396" s="354"/>
      <c r="V396" s="353"/>
      <c r="W396" s="130"/>
      <c r="X396" s="130"/>
      <c r="Y396" s="403"/>
      <c r="Z396" s="404"/>
    </row>
    <row r="397" spans="1:26" s="133" customFormat="1" x14ac:dyDescent="0.25">
      <c r="A397" s="209"/>
      <c r="B397" s="161"/>
      <c r="C397" s="105"/>
      <c r="D397" s="105"/>
      <c r="E397" s="105"/>
      <c r="F397" s="105"/>
      <c r="G397" s="105"/>
      <c r="H397" s="105"/>
      <c r="I397" s="105"/>
      <c r="J397" s="105"/>
      <c r="K397" s="136"/>
      <c r="L397" s="105"/>
      <c r="M397" s="105"/>
      <c r="N397" s="105"/>
      <c r="O397" s="105"/>
      <c r="P397" s="135"/>
      <c r="Q397" s="105"/>
      <c r="R397" s="136"/>
      <c r="S397" s="105"/>
      <c r="T397" s="135"/>
      <c r="U397" s="354"/>
      <c r="V397" s="353"/>
      <c r="W397" s="130"/>
      <c r="X397" s="130"/>
      <c r="Y397" s="403"/>
      <c r="Z397" s="404"/>
    </row>
    <row r="398" spans="1:26" s="133" customFormat="1" x14ac:dyDescent="0.25">
      <c r="A398" s="209"/>
      <c r="B398" s="161"/>
      <c r="C398" s="105"/>
      <c r="D398" s="105"/>
      <c r="E398" s="105"/>
      <c r="F398" s="105"/>
      <c r="G398" s="105"/>
      <c r="H398" s="105"/>
      <c r="I398" s="105"/>
      <c r="J398" s="105"/>
      <c r="K398" s="136"/>
      <c r="L398" s="105"/>
      <c r="M398" s="105"/>
      <c r="N398" s="105"/>
      <c r="O398" s="105"/>
      <c r="P398" s="135"/>
      <c r="Q398" s="105"/>
      <c r="R398" s="136"/>
      <c r="S398" s="105"/>
      <c r="T398" s="135"/>
      <c r="U398" s="354"/>
      <c r="V398" s="353"/>
      <c r="W398" s="130"/>
      <c r="X398" s="130"/>
      <c r="Y398" s="403"/>
      <c r="Z398" s="404"/>
    </row>
    <row r="399" spans="1:26" s="133" customFormat="1" x14ac:dyDescent="0.25">
      <c r="A399" s="209"/>
      <c r="B399" s="161"/>
      <c r="C399" s="105"/>
      <c r="D399" s="105"/>
      <c r="E399" s="105"/>
      <c r="F399" s="105"/>
      <c r="G399" s="105"/>
      <c r="H399" s="105"/>
      <c r="I399" s="105"/>
      <c r="J399" s="105"/>
      <c r="K399" s="136"/>
      <c r="L399" s="105"/>
      <c r="M399" s="105"/>
      <c r="N399" s="105"/>
      <c r="O399" s="105"/>
      <c r="P399" s="135"/>
      <c r="Q399" s="105"/>
      <c r="R399" s="136"/>
      <c r="S399" s="105"/>
      <c r="T399" s="135"/>
      <c r="U399" s="354"/>
      <c r="V399" s="353"/>
      <c r="W399" s="130"/>
      <c r="X399" s="130"/>
      <c r="Y399" s="403"/>
      <c r="Z399" s="404"/>
    </row>
    <row r="400" spans="1:26" s="133" customFormat="1" x14ac:dyDescent="0.25">
      <c r="A400" s="209"/>
      <c r="B400" s="161"/>
      <c r="C400" s="105"/>
      <c r="D400" s="105"/>
      <c r="E400" s="105"/>
      <c r="F400" s="105"/>
      <c r="G400" s="105"/>
      <c r="H400" s="105"/>
      <c r="I400" s="105"/>
      <c r="J400" s="105"/>
      <c r="K400" s="136"/>
      <c r="L400" s="105"/>
      <c r="M400" s="105"/>
      <c r="N400" s="105"/>
      <c r="O400" s="105"/>
      <c r="P400" s="135"/>
      <c r="Q400" s="105"/>
      <c r="R400" s="136"/>
      <c r="S400" s="105"/>
      <c r="T400" s="135"/>
      <c r="U400" s="354"/>
      <c r="V400" s="353"/>
      <c r="W400" s="130"/>
      <c r="X400" s="130"/>
      <c r="Y400" s="403"/>
      <c r="Z400" s="404"/>
    </row>
    <row r="401" spans="1:26" s="133" customFormat="1" x14ac:dyDescent="0.25">
      <c r="A401" s="209"/>
      <c r="B401" s="161"/>
      <c r="C401" s="105"/>
      <c r="D401" s="105"/>
      <c r="E401" s="105"/>
      <c r="F401" s="105"/>
      <c r="G401" s="105"/>
      <c r="H401" s="105"/>
      <c r="I401" s="105"/>
      <c r="J401" s="105"/>
      <c r="K401" s="136"/>
      <c r="L401" s="105"/>
      <c r="M401" s="105"/>
      <c r="N401" s="105"/>
      <c r="O401" s="105"/>
      <c r="P401" s="135"/>
      <c r="Q401" s="105"/>
      <c r="R401" s="136"/>
      <c r="S401" s="105"/>
      <c r="T401" s="135"/>
      <c r="U401" s="354"/>
      <c r="V401" s="353"/>
      <c r="W401" s="130"/>
      <c r="X401" s="130"/>
      <c r="Y401" s="403"/>
      <c r="Z401" s="404"/>
    </row>
    <row r="402" spans="1:26" s="133" customFormat="1" x14ac:dyDescent="0.25">
      <c r="A402" s="209"/>
      <c r="B402" s="161"/>
      <c r="C402" s="105"/>
      <c r="D402" s="105"/>
      <c r="E402" s="105"/>
      <c r="F402" s="105"/>
      <c r="G402" s="105"/>
      <c r="H402" s="105"/>
      <c r="I402" s="105"/>
      <c r="J402" s="105"/>
      <c r="K402" s="136"/>
      <c r="L402" s="105"/>
      <c r="M402" s="105"/>
      <c r="N402" s="105"/>
      <c r="O402" s="105"/>
      <c r="P402" s="135"/>
      <c r="Q402" s="105"/>
      <c r="R402" s="136"/>
      <c r="S402" s="105"/>
      <c r="T402" s="135"/>
      <c r="U402" s="354"/>
      <c r="V402" s="353"/>
      <c r="W402" s="130"/>
      <c r="X402" s="130"/>
      <c r="Y402" s="403"/>
      <c r="Z402" s="404"/>
    </row>
    <row r="403" spans="1:26" s="133" customFormat="1" x14ac:dyDescent="0.25">
      <c r="A403" s="209"/>
      <c r="B403" s="161"/>
      <c r="C403" s="105"/>
      <c r="D403" s="105"/>
      <c r="E403" s="105"/>
      <c r="F403" s="105"/>
      <c r="G403" s="105"/>
      <c r="H403" s="105"/>
      <c r="I403" s="105"/>
      <c r="J403" s="105"/>
      <c r="K403" s="136"/>
      <c r="L403" s="105"/>
      <c r="M403" s="105"/>
      <c r="N403" s="105"/>
      <c r="O403" s="105"/>
      <c r="P403" s="135"/>
      <c r="Q403" s="105"/>
      <c r="R403" s="136"/>
      <c r="S403" s="105"/>
      <c r="T403" s="135"/>
      <c r="U403" s="354"/>
      <c r="V403" s="353"/>
      <c r="W403" s="130"/>
      <c r="X403" s="130"/>
      <c r="Y403" s="403"/>
      <c r="Z403" s="404"/>
    </row>
    <row r="404" spans="1:26" s="133" customFormat="1" x14ac:dyDescent="0.25">
      <c r="A404" s="209"/>
      <c r="B404" s="161"/>
      <c r="C404" s="105"/>
      <c r="D404" s="105"/>
      <c r="E404" s="105"/>
      <c r="F404" s="105"/>
      <c r="G404" s="105"/>
      <c r="H404" s="105"/>
      <c r="I404" s="105"/>
      <c r="J404" s="105"/>
      <c r="K404" s="136"/>
      <c r="L404" s="105"/>
      <c r="M404" s="105"/>
      <c r="N404" s="105"/>
      <c r="O404" s="105"/>
      <c r="P404" s="135"/>
      <c r="Q404" s="105"/>
      <c r="R404" s="136"/>
      <c r="S404" s="105"/>
      <c r="T404" s="135"/>
      <c r="U404" s="354"/>
      <c r="V404" s="353"/>
      <c r="W404" s="130"/>
      <c r="X404" s="130"/>
      <c r="Y404" s="403"/>
      <c r="Z404" s="404"/>
    </row>
    <row r="405" spans="1:26" s="133" customFormat="1" x14ac:dyDescent="0.25">
      <c r="A405" s="209"/>
      <c r="B405" s="161"/>
      <c r="C405" s="105"/>
      <c r="D405" s="105"/>
      <c r="E405" s="105"/>
      <c r="F405" s="105"/>
      <c r="G405" s="105"/>
      <c r="H405" s="105"/>
      <c r="I405" s="105"/>
      <c r="J405" s="105"/>
      <c r="K405" s="136"/>
      <c r="L405" s="105"/>
      <c r="M405" s="105"/>
      <c r="N405" s="105"/>
      <c r="O405" s="105"/>
      <c r="P405" s="135"/>
      <c r="Q405" s="105"/>
      <c r="R405" s="136"/>
      <c r="S405" s="105"/>
      <c r="T405" s="135"/>
      <c r="U405" s="354"/>
      <c r="V405" s="353"/>
      <c r="W405" s="130"/>
      <c r="X405" s="130"/>
      <c r="Y405" s="403"/>
      <c r="Z405" s="404"/>
    </row>
    <row r="406" spans="1:26" s="133" customFormat="1" x14ac:dyDescent="0.25">
      <c r="A406" s="209"/>
      <c r="B406" s="161"/>
      <c r="C406" s="105"/>
      <c r="D406" s="105"/>
      <c r="E406" s="105"/>
      <c r="F406" s="105"/>
      <c r="G406" s="105"/>
      <c r="H406" s="105"/>
      <c r="I406" s="105"/>
      <c r="J406" s="105"/>
      <c r="K406" s="136"/>
      <c r="L406" s="105"/>
      <c r="M406" s="105"/>
      <c r="N406" s="105"/>
      <c r="O406" s="105"/>
      <c r="P406" s="135"/>
      <c r="Q406" s="105"/>
      <c r="R406" s="136"/>
      <c r="S406" s="105"/>
      <c r="T406" s="135"/>
      <c r="U406" s="354"/>
      <c r="V406" s="353"/>
      <c r="W406" s="130"/>
      <c r="X406" s="130"/>
      <c r="Y406" s="403"/>
      <c r="Z406" s="404"/>
    </row>
    <row r="407" spans="1:26" s="133" customFormat="1" x14ac:dyDescent="0.25">
      <c r="A407" s="209"/>
      <c r="B407" s="161"/>
      <c r="C407" s="105"/>
      <c r="D407" s="105"/>
      <c r="E407" s="105"/>
      <c r="F407" s="105"/>
      <c r="G407" s="105"/>
      <c r="H407" s="105"/>
      <c r="I407" s="105"/>
      <c r="J407" s="105"/>
      <c r="K407" s="136"/>
      <c r="L407" s="105"/>
      <c r="M407" s="105"/>
      <c r="N407" s="105"/>
      <c r="O407" s="105"/>
      <c r="P407" s="135"/>
      <c r="Q407" s="105"/>
      <c r="R407" s="136"/>
      <c r="S407" s="105"/>
      <c r="T407" s="135"/>
      <c r="U407" s="354"/>
      <c r="V407" s="353"/>
      <c r="W407" s="130"/>
      <c r="X407" s="130"/>
      <c r="Y407" s="403"/>
      <c r="Z407" s="404"/>
    </row>
    <row r="408" spans="1:26" s="133" customFormat="1" x14ac:dyDescent="0.25">
      <c r="A408" s="209"/>
      <c r="B408" s="161"/>
      <c r="C408" s="105"/>
      <c r="D408" s="105"/>
      <c r="E408" s="105"/>
      <c r="F408" s="105"/>
      <c r="G408" s="105"/>
      <c r="H408" s="105"/>
      <c r="I408" s="105"/>
      <c r="J408" s="105"/>
      <c r="K408" s="136"/>
      <c r="L408" s="105"/>
      <c r="M408" s="105"/>
      <c r="N408" s="105"/>
      <c r="O408" s="105"/>
      <c r="P408" s="135"/>
      <c r="Q408" s="105"/>
      <c r="R408" s="136"/>
      <c r="S408" s="105"/>
      <c r="T408" s="135"/>
      <c r="U408" s="354"/>
      <c r="V408" s="353"/>
      <c r="W408" s="130"/>
      <c r="X408" s="130"/>
      <c r="Y408" s="403"/>
      <c r="Z408" s="404"/>
    </row>
    <row r="409" spans="1:26" s="133" customFormat="1" x14ac:dyDescent="0.25">
      <c r="A409" s="209"/>
      <c r="B409" s="161"/>
      <c r="C409" s="105"/>
      <c r="D409" s="105"/>
      <c r="E409" s="105"/>
      <c r="F409" s="105"/>
      <c r="G409" s="105"/>
      <c r="H409" s="105"/>
      <c r="I409" s="105"/>
      <c r="J409" s="105"/>
      <c r="K409" s="136"/>
      <c r="L409" s="105"/>
      <c r="M409" s="105"/>
      <c r="N409" s="105"/>
      <c r="O409" s="105"/>
      <c r="P409" s="135"/>
      <c r="Q409" s="105"/>
      <c r="R409" s="136"/>
      <c r="S409" s="105"/>
      <c r="T409" s="135"/>
      <c r="U409" s="354"/>
      <c r="V409" s="353"/>
      <c r="W409" s="130"/>
      <c r="X409" s="130"/>
      <c r="Y409" s="403"/>
      <c r="Z409" s="404"/>
    </row>
    <row r="410" spans="1:26" s="133" customFormat="1" x14ac:dyDescent="0.25">
      <c r="A410" s="209"/>
      <c r="B410" s="161"/>
      <c r="C410" s="105"/>
      <c r="D410" s="105"/>
      <c r="E410" s="105"/>
      <c r="F410" s="105"/>
      <c r="G410" s="105"/>
      <c r="H410" s="105"/>
      <c r="I410" s="105"/>
      <c r="J410" s="105"/>
      <c r="K410" s="136"/>
      <c r="L410" s="105"/>
      <c r="M410" s="105"/>
      <c r="N410" s="105"/>
      <c r="O410" s="105"/>
      <c r="P410" s="135"/>
      <c r="Q410" s="105"/>
      <c r="R410" s="136"/>
      <c r="S410" s="105"/>
      <c r="T410" s="135"/>
      <c r="U410" s="354"/>
      <c r="V410" s="353"/>
      <c r="W410" s="130"/>
      <c r="X410" s="130"/>
      <c r="Y410" s="403"/>
      <c r="Z410" s="404"/>
    </row>
    <row r="411" spans="1:26" s="133" customFormat="1" x14ac:dyDescent="0.25">
      <c r="A411" s="209"/>
      <c r="B411" s="161"/>
      <c r="C411" s="105"/>
      <c r="D411" s="105"/>
      <c r="E411" s="105"/>
      <c r="F411" s="105"/>
      <c r="G411" s="105"/>
      <c r="H411" s="105"/>
      <c r="I411" s="105"/>
      <c r="J411" s="105"/>
      <c r="K411" s="136"/>
      <c r="L411" s="105"/>
      <c r="M411" s="105"/>
      <c r="N411" s="105"/>
      <c r="O411" s="105"/>
      <c r="P411" s="135"/>
      <c r="Q411" s="105"/>
      <c r="R411" s="136"/>
      <c r="S411" s="105"/>
      <c r="T411" s="135"/>
      <c r="U411" s="354"/>
      <c r="V411" s="353"/>
      <c r="W411" s="130"/>
      <c r="X411" s="130"/>
      <c r="Y411" s="403"/>
      <c r="Z411" s="404"/>
    </row>
    <row r="412" spans="1:26" s="133" customFormat="1" x14ac:dyDescent="0.25">
      <c r="A412" s="209"/>
      <c r="B412" s="161"/>
      <c r="C412" s="105"/>
      <c r="D412" s="105"/>
      <c r="E412" s="105"/>
      <c r="F412" s="105"/>
      <c r="G412" s="105"/>
      <c r="H412" s="105"/>
      <c r="I412" s="105"/>
      <c r="J412" s="105"/>
      <c r="K412" s="136"/>
      <c r="L412" s="105"/>
      <c r="M412" s="105"/>
      <c r="N412" s="105"/>
      <c r="O412" s="105"/>
      <c r="P412" s="135"/>
      <c r="Q412" s="105"/>
      <c r="R412" s="136"/>
      <c r="S412" s="105"/>
      <c r="T412" s="135"/>
      <c r="U412" s="354"/>
      <c r="V412" s="353"/>
      <c r="W412" s="130"/>
      <c r="X412" s="130"/>
      <c r="Y412" s="403"/>
      <c r="Z412" s="404"/>
    </row>
    <row r="413" spans="1:26" s="133" customFormat="1" x14ac:dyDescent="0.25">
      <c r="A413" s="209"/>
      <c r="B413" s="161"/>
      <c r="C413" s="105"/>
      <c r="D413" s="105"/>
      <c r="E413" s="105"/>
      <c r="F413" s="105"/>
      <c r="G413" s="105"/>
      <c r="H413" s="105"/>
      <c r="I413" s="105"/>
      <c r="J413" s="105"/>
      <c r="K413" s="136"/>
      <c r="L413" s="105"/>
      <c r="M413" s="105"/>
      <c r="N413" s="105"/>
      <c r="O413" s="105"/>
      <c r="P413" s="135"/>
      <c r="Q413" s="105"/>
      <c r="R413" s="136"/>
      <c r="S413" s="105"/>
      <c r="T413" s="135"/>
      <c r="U413" s="354"/>
      <c r="V413" s="353"/>
      <c r="W413" s="130"/>
      <c r="X413" s="130"/>
      <c r="Y413" s="403"/>
      <c r="Z413" s="404"/>
    </row>
    <row r="414" spans="1:26" s="133" customFormat="1" x14ac:dyDescent="0.25">
      <c r="A414" s="209"/>
      <c r="B414" s="161"/>
      <c r="C414" s="105"/>
      <c r="D414" s="105"/>
      <c r="E414" s="105"/>
      <c r="F414" s="105"/>
      <c r="G414" s="105"/>
      <c r="H414" s="105"/>
      <c r="I414" s="105"/>
      <c r="J414" s="105"/>
      <c r="K414" s="136"/>
      <c r="L414" s="105"/>
      <c r="M414" s="105"/>
      <c r="N414" s="105"/>
      <c r="O414" s="105"/>
      <c r="P414" s="135"/>
      <c r="Q414" s="105"/>
      <c r="R414" s="136"/>
      <c r="S414" s="105"/>
      <c r="T414" s="135"/>
      <c r="U414" s="354"/>
      <c r="V414" s="353"/>
      <c r="W414" s="130"/>
      <c r="X414" s="130"/>
      <c r="Y414" s="403"/>
      <c r="Z414" s="404"/>
    </row>
    <row r="415" spans="1:26" s="133" customFormat="1" x14ac:dyDescent="0.25">
      <c r="A415" s="209"/>
      <c r="B415" s="161"/>
      <c r="C415" s="105"/>
      <c r="D415" s="105"/>
      <c r="E415" s="105"/>
      <c r="F415" s="105"/>
      <c r="G415" s="105"/>
      <c r="H415" s="105"/>
      <c r="I415" s="105"/>
      <c r="J415" s="105"/>
      <c r="K415" s="136"/>
      <c r="L415" s="105"/>
      <c r="M415" s="105"/>
      <c r="N415" s="105"/>
      <c r="O415" s="105"/>
      <c r="P415" s="135"/>
      <c r="Q415" s="105"/>
      <c r="R415" s="136"/>
      <c r="S415" s="105"/>
      <c r="T415" s="135"/>
      <c r="U415" s="354"/>
      <c r="V415" s="353"/>
      <c r="W415" s="130"/>
      <c r="X415" s="130"/>
      <c r="Y415" s="403"/>
      <c r="Z415" s="404"/>
    </row>
    <row r="416" spans="1:26" s="133" customFormat="1" x14ac:dyDescent="0.25">
      <c r="A416" s="209"/>
      <c r="B416" s="161"/>
      <c r="C416" s="105"/>
      <c r="D416" s="105"/>
      <c r="E416" s="105"/>
      <c r="F416" s="105"/>
      <c r="G416" s="105"/>
      <c r="H416" s="105"/>
      <c r="I416" s="105"/>
      <c r="J416" s="105"/>
      <c r="K416" s="136"/>
      <c r="L416" s="105"/>
      <c r="M416" s="105"/>
      <c r="N416" s="105"/>
      <c r="O416" s="105"/>
      <c r="P416" s="135"/>
      <c r="Q416" s="105"/>
      <c r="R416" s="136"/>
      <c r="S416" s="105"/>
      <c r="T416" s="135"/>
      <c r="U416" s="354"/>
      <c r="V416" s="353"/>
      <c r="W416" s="130"/>
      <c r="X416" s="130"/>
      <c r="Y416" s="403"/>
      <c r="Z416" s="404"/>
    </row>
    <row r="417" spans="1:26" s="133" customFormat="1" x14ac:dyDescent="0.25">
      <c r="A417" s="209"/>
      <c r="B417" s="161"/>
      <c r="C417" s="105"/>
      <c r="D417" s="105"/>
      <c r="E417" s="105"/>
      <c r="F417" s="105"/>
      <c r="G417" s="105"/>
      <c r="H417" s="105"/>
      <c r="I417" s="105"/>
      <c r="J417" s="105"/>
      <c r="K417" s="136"/>
      <c r="L417" s="105"/>
      <c r="M417" s="105"/>
      <c r="N417" s="105"/>
      <c r="O417" s="105"/>
      <c r="P417" s="135"/>
      <c r="Q417" s="105"/>
      <c r="R417" s="136"/>
      <c r="S417" s="105"/>
      <c r="T417" s="135"/>
      <c r="U417" s="354"/>
      <c r="V417" s="353"/>
      <c r="W417" s="130"/>
      <c r="X417" s="130"/>
      <c r="Y417" s="403"/>
      <c r="Z417" s="404"/>
    </row>
    <row r="418" spans="1:26" s="133" customFormat="1" x14ac:dyDescent="0.25">
      <c r="A418" s="209"/>
      <c r="B418" s="161"/>
      <c r="C418" s="105"/>
      <c r="D418" s="105"/>
      <c r="E418" s="105"/>
      <c r="F418" s="105"/>
      <c r="G418" s="105"/>
      <c r="H418" s="105"/>
      <c r="I418" s="105"/>
      <c r="J418" s="105"/>
      <c r="K418" s="136"/>
      <c r="L418" s="105"/>
      <c r="M418" s="105"/>
      <c r="N418" s="105"/>
      <c r="O418" s="105"/>
      <c r="P418" s="135"/>
      <c r="Q418" s="105"/>
      <c r="R418" s="136"/>
      <c r="S418" s="105"/>
      <c r="T418" s="135"/>
      <c r="U418" s="354"/>
      <c r="V418" s="353"/>
      <c r="W418" s="130"/>
      <c r="X418" s="130"/>
      <c r="Y418" s="403"/>
      <c r="Z418" s="404"/>
    </row>
    <row r="419" spans="1:26" s="133" customFormat="1" x14ac:dyDescent="0.25">
      <c r="A419" s="209"/>
      <c r="B419" s="161"/>
      <c r="C419" s="105"/>
      <c r="D419" s="105"/>
      <c r="E419" s="105"/>
      <c r="F419" s="105"/>
      <c r="G419" s="105"/>
      <c r="H419" s="105"/>
      <c r="I419" s="105"/>
      <c r="J419" s="105"/>
      <c r="K419" s="136"/>
      <c r="L419" s="105"/>
      <c r="M419" s="105"/>
      <c r="N419" s="105"/>
      <c r="O419" s="105"/>
      <c r="P419" s="135"/>
      <c r="Q419" s="105"/>
      <c r="R419" s="136"/>
      <c r="S419" s="105"/>
      <c r="T419" s="135"/>
      <c r="U419" s="354"/>
      <c r="V419" s="353"/>
      <c r="W419" s="130"/>
      <c r="X419" s="130"/>
      <c r="Y419" s="403"/>
      <c r="Z419" s="404"/>
    </row>
    <row r="420" spans="1:26" s="133" customFormat="1" x14ac:dyDescent="0.25">
      <c r="A420" s="209"/>
      <c r="B420" s="161"/>
      <c r="C420" s="105"/>
      <c r="D420" s="105"/>
      <c r="E420" s="105"/>
      <c r="F420" s="105"/>
      <c r="G420" s="105"/>
      <c r="H420" s="105"/>
      <c r="I420" s="105"/>
      <c r="J420" s="105"/>
      <c r="K420" s="136"/>
      <c r="L420" s="105"/>
      <c r="M420" s="105"/>
      <c r="N420" s="105"/>
      <c r="O420" s="105"/>
      <c r="P420" s="135"/>
      <c r="Q420" s="105"/>
      <c r="R420" s="136"/>
      <c r="S420" s="105"/>
      <c r="T420" s="135"/>
      <c r="U420" s="354"/>
      <c r="V420" s="353"/>
      <c r="W420" s="130"/>
      <c r="X420" s="130"/>
      <c r="Y420" s="403"/>
      <c r="Z420" s="404"/>
    </row>
    <row r="421" spans="1:26" s="133" customFormat="1" x14ac:dyDescent="0.25">
      <c r="A421" s="209"/>
      <c r="B421" s="161"/>
      <c r="C421" s="105"/>
      <c r="D421" s="105"/>
      <c r="E421" s="105"/>
      <c r="F421" s="105"/>
      <c r="G421" s="105"/>
      <c r="H421" s="105"/>
      <c r="I421" s="105"/>
      <c r="J421" s="105"/>
      <c r="K421" s="136"/>
      <c r="L421" s="105"/>
      <c r="M421" s="105"/>
      <c r="N421" s="105"/>
      <c r="O421" s="105"/>
      <c r="P421" s="135"/>
      <c r="Q421" s="105"/>
      <c r="R421" s="136"/>
      <c r="S421" s="105"/>
      <c r="T421" s="135"/>
      <c r="U421" s="354"/>
      <c r="V421" s="353"/>
      <c r="W421" s="130"/>
      <c r="X421" s="130"/>
      <c r="Y421" s="403"/>
      <c r="Z421" s="404"/>
    </row>
    <row r="422" spans="1:26" s="133" customFormat="1" x14ac:dyDescent="0.25">
      <c r="A422" s="209"/>
      <c r="B422" s="161"/>
      <c r="C422" s="105"/>
      <c r="D422" s="105"/>
      <c r="E422" s="105"/>
      <c r="F422" s="105"/>
      <c r="G422" s="105"/>
      <c r="H422" s="105"/>
      <c r="I422" s="105"/>
      <c r="J422" s="105"/>
      <c r="K422" s="136"/>
      <c r="L422" s="105"/>
      <c r="M422" s="105"/>
      <c r="N422" s="105"/>
      <c r="O422" s="105"/>
      <c r="P422" s="135"/>
      <c r="Q422" s="105"/>
      <c r="R422" s="136"/>
      <c r="S422" s="105"/>
      <c r="T422" s="135"/>
      <c r="U422" s="354"/>
      <c r="V422" s="353"/>
      <c r="W422" s="130"/>
      <c r="X422" s="130"/>
      <c r="Y422" s="403"/>
      <c r="Z422" s="404"/>
    </row>
    <row r="423" spans="1:26" s="133" customFormat="1" x14ac:dyDescent="0.25">
      <c r="A423" s="209"/>
      <c r="B423" s="161"/>
      <c r="C423" s="105"/>
      <c r="D423" s="105"/>
      <c r="E423" s="105"/>
      <c r="F423" s="105"/>
      <c r="G423" s="105"/>
      <c r="H423" s="105"/>
      <c r="I423" s="105"/>
      <c r="J423" s="105"/>
      <c r="K423" s="136"/>
      <c r="L423" s="105"/>
      <c r="M423" s="105"/>
      <c r="N423" s="105"/>
      <c r="O423" s="105"/>
      <c r="P423" s="135"/>
      <c r="Q423" s="105"/>
      <c r="R423" s="136"/>
      <c r="S423" s="105"/>
      <c r="T423" s="135"/>
      <c r="U423" s="354"/>
      <c r="V423" s="353"/>
      <c r="W423" s="130"/>
      <c r="X423" s="130"/>
      <c r="Y423" s="403"/>
      <c r="Z423" s="404"/>
    </row>
    <row r="424" spans="1:26" s="133" customFormat="1" x14ac:dyDescent="0.25">
      <c r="A424" s="209"/>
      <c r="B424" s="161"/>
      <c r="C424" s="105"/>
      <c r="D424" s="105"/>
      <c r="E424" s="105"/>
      <c r="F424" s="105"/>
      <c r="G424" s="105"/>
      <c r="H424" s="105"/>
      <c r="I424" s="105"/>
      <c r="J424" s="105"/>
      <c r="K424" s="136"/>
      <c r="L424" s="105"/>
      <c r="M424" s="105"/>
      <c r="N424" s="105"/>
      <c r="O424" s="105"/>
      <c r="P424" s="135"/>
      <c r="Q424" s="105"/>
      <c r="R424" s="136"/>
      <c r="S424" s="105"/>
      <c r="T424" s="135"/>
      <c r="U424" s="354"/>
      <c r="V424" s="353"/>
      <c r="W424" s="130"/>
      <c r="X424" s="130"/>
      <c r="Y424" s="403"/>
      <c r="Z424" s="404"/>
    </row>
    <row r="425" spans="1:26" s="133" customFormat="1" x14ac:dyDescent="0.25">
      <c r="A425" s="209"/>
      <c r="B425" s="161"/>
      <c r="C425" s="105"/>
      <c r="D425" s="105"/>
      <c r="E425" s="105"/>
      <c r="F425" s="105"/>
      <c r="G425" s="105"/>
      <c r="H425" s="105"/>
      <c r="I425" s="105"/>
      <c r="J425" s="105"/>
      <c r="K425" s="136"/>
      <c r="L425" s="105"/>
      <c r="M425" s="105"/>
      <c r="N425" s="105"/>
      <c r="O425" s="105"/>
      <c r="P425" s="135"/>
      <c r="Q425" s="105"/>
      <c r="R425" s="136"/>
      <c r="S425" s="105"/>
      <c r="T425" s="135"/>
      <c r="U425" s="354"/>
      <c r="V425" s="353"/>
      <c r="W425" s="130"/>
      <c r="X425" s="130"/>
      <c r="Y425" s="403"/>
      <c r="Z425" s="404"/>
    </row>
    <row r="426" spans="1:26" s="133" customFormat="1" x14ac:dyDescent="0.25">
      <c r="A426" s="209"/>
      <c r="B426" s="161"/>
      <c r="C426" s="105"/>
      <c r="D426" s="105"/>
      <c r="E426" s="105"/>
      <c r="F426" s="105"/>
      <c r="G426" s="105"/>
      <c r="H426" s="105"/>
      <c r="I426" s="105"/>
      <c r="J426" s="105"/>
      <c r="K426" s="136"/>
      <c r="L426" s="105"/>
      <c r="M426" s="105"/>
      <c r="N426" s="105"/>
      <c r="O426" s="105"/>
      <c r="P426" s="135"/>
      <c r="Q426" s="105"/>
      <c r="R426" s="136"/>
      <c r="S426" s="105"/>
      <c r="T426" s="135"/>
      <c r="U426" s="354"/>
      <c r="V426" s="353"/>
      <c r="W426" s="130"/>
      <c r="X426" s="130"/>
      <c r="Y426" s="403"/>
      <c r="Z426" s="404"/>
    </row>
    <row r="427" spans="1:26" s="133" customFormat="1" x14ac:dyDescent="0.25">
      <c r="A427" s="209"/>
      <c r="B427" s="161"/>
      <c r="C427" s="105"/>
      <c r="D427" s="105"/>
      <c r="E427" s="105"/>
      <c r="F427" s="105"/>
      <c r="G427" s="105"/>
      <c r="H427" s="105"/>
      <c r="I427" s="105"/>
      <c r="J427" s="105"/>
      <c r="K427" s="136"/>
      <c r="L427" s="105"/>
      <c r="M427" s="105"/>
      <c r="N427" s="105"/>
      <c r="O427" s="105"/>
      <c r="P427" s="135"/>
      <c r="Q427" s="105"/>
      <c r="R427" s="136"/>
      <c r="S427" s="105"/>
      <c r="T427" s="135"/>
      <c r="U427" s="354"/>
      <c r="V427" s="353"/>
      <c r="W427" s="130"/>
      <c r="X427" s="130"/>
      <c r="Y427" s="403"/>
      <c r="Z427" s="404"/>
    </row>
    <row r="428" spans="1:26" s="133" customFormat="1" x14ac:dyDescent="0.25">
      <c r="A428" s="209"/>
      <c r="B428" s="161"/>
      <c r="C428" s="105"/>
      <c r="D428" s="105"/>
      <c r="E428" s="105"/>
      <c r="F428" s="105"/>
      <c r="G428" s="105"/>
      <c r="H428" s="105"/>
      <c r="I428" s="105"/>
      <c r="J428" s="105"/>
      <c r="K428" s="136"/>
      <c r="L428" s="105"/>
      <c r="M428" s="105"/>
      <c r="N428" s="105"/>
      <c r="O428" s="105"/>
      <c r="P428" s="135"/>
      <c r="Q428" s="105"/>
      <c r="R428" s="136"/>
      <c r="S428" s="105"/>
      <c r="T428" s="135"/>
      <c r="U428" s="354"/>
      <c r="V428" s="353"/>
      <c r="W428" s="130"/>
      <c r="X428" s="130"/>
      <c r="Y428" s="403"/>
      <c r="Z428" s="404"/>
    </row>
    <row r="429" spans="1:26" s="133" customFormat="1" x14ac:dyDescent="0.25">
      <c r="A429" s="209"/>
      <c r="B429" s="161"/>
      <c r="C429" s="105"/>
      <c r="D429" s="105"/>
      <c r="E429" s="105"/>
      <c r="F429" s="105"/>
      <c r="G429" s="105"/>
      <c r="H429" s="105"/>
      <c r="I429" s="105"/>
      <c r="J429" s="105"/>
      <c r="K429" s="136"/>
      <c r="L429" s="105"/>
      <c r="M429" s="105"/>
      <c r="N429" s="105"/>
      <c r="O429" s="105"/>
      <c r="P429" s="135"/>
      <c r="Q429" s="105"/>
      <c r="R429" s="136"/>
      <c r="S429" s="105"/>
      <c r="T429" s="135"/>
      <c r="U429" s="354"/>
      <c r="V429" s="353"/>
      <c r="W429" s="130"/>
      <c r="X429" s="130"/>
      <c r="Y429" s="403"/>
      <c r="Z429" s="404"/>
    </row>
    <row r="430" spans="1:26" s="133" customFormat="1" x14ac:dyDescent="0.25">
      <c r="A430" s="209"/>
      <c r="B430" s="161"/>
      <c r="C430" s="105"/>
      <c r="D430" s="105"/>
      <c r="E430" s="105"/>
      <c r="F430" s="105"/>
      <c r="G430" s="105"/>
      <c r="H430" s="105"/>
      <c r="I430" s="105"/>
      <c r="J430" s="105"/>
      <c r="K430" s="136"/>
      <c r="L430" s="105"/>
      <c r="M430" s="105"/>
      <c r="N430" s="105"/>
      <c r="O430" s="105"/>
      <c r="P430" s="135"/>
      <c r="Q430" s="105"/>
      <c r="R430" s="136"/>
      <c r="S430" s="105"/>
      <c r="T430" s="135"/>
      <c r="U430" s="354"/>
      <c r="V430" s="353"/>
      <c r="W430" s="130"/>
      <c r="X430" s="130"/>
      <c r="Y430" s="403"/>
      <c r="Z430" s="404"/>
    </row>
    <row r="431" spans="1:26" s="133" customFormat="1" x14ac:dyDescent="0.25">
      <c r="A431" s="209"/>
      <c r="B431" s="161"/>
      <c r="C431" s="105"/>
      <c r="D431" s="105"/>
      <c r="E431" s="105"/>
      <c r="F431" s="105"/>
      <c r="G431" s="105"/>
      <c r="H431" s="105"/>
      <c r="I431" s="105"/>
      <c r="J431" s="105"/>
      <c r="K431" s="136"/>
      <c r="L431" s="105"/>
      <c r="M431" s="105"/>
      <c r="N431" s="105"/>
      <c r="O431" s="105"/>
      <c r="P431" s="135"/>
      <c r="Q431" s="105"/>
      <c r="R431" s="136"/>
      <c r="S431" s="105"/>
      <c r="T431" s="135"/>
      <c r="U431" s="354"/>
      <c r="V431" s="353"/>
      <c r="W431" s="130"/>
      <c r="X431" s="130"/>
      <c r="Y431" s="403"/>
      <c r="Z431" s="404"/>
    </row>
    <row r="432" spans="1:26" s="133" customFormat="1" x14ac:dyDescent="0.25">
      <c r="A432" s="209"/>
      <c r="B432" s="161"/>
      <c r="C432" s="105"/>
      <c r="D432" s="105"/>
      <c r="E432" s="105"/>
      <c r="F432" s="105"/>
      <c r="G432" s="105"/>
      <c r="H432" s="105"/>
      <c r="I432" s="105"/>
      <c r="J432" s="105"/>
      <c r="K432" s="136"/>
      <c r="L432" s="105"/>
      <c r="M432" s="105"/>
      <c r="N432" s="105"/>
      <c r="O432" s="105"/>
      <c r="P432" s="135"/>
      <c r="Q432" s="105"/>
      <c r="R432" s="136"/>
      <c r="S432" s="105"/>
      <c r="T432" s="135"/>
      <c r="U432" s="354"/>
      <c r="V432" s="353"/>
      <c r="W432" s="130"/>
      <c r="X432" s="130"/>
      <c r="Y432" s="403"/>
      <c r="Z432" s="404"/>
    </row>
    <row r="433" spans="1:26" s="133" customFormat="1" x14ac:dyDescent="0.25">
      <c r="A433" s="209"/>
      <c r="B433" s="161"/>
      <c r="C433" s="105"/>
      <c r="D433" s="105"/>
      <c r="E433" s="105"/>
      <c r="F433" s="105"/>
      <c r="G433" s="105"/>
      <c r="H433" s="105"/>
      <c r="I433" s="105"/>
      <c r="J433" s="105"/>
      <c r="K433" s="136"/>
      <c r="L433" s="105"/>
      <c r="M433" s="105"/>
      <c r="N433" s="105"/>
      <c r="O433" s="105"/>
      <c r="P433" s="135"/>
      <c r="Q433" s="105"/>
      <c r="R433" s="136"/>
      <c r="S433" s="105"/>
      <c r="T433" s="135"/>
      <c r="U433" s="354"/>
      <c r="V433" s="353"/>
      <c r="W433" s="130"/>
      <c r="X433" s="130"/>
      <c r="Y433" s="403"/>
      <c r="Z433" s="404"/>
    </row>
    <row r="434" spans="1:26" s="133" customFormat="1" x14ac:dyDescent="0.25">
      <c r="A434" s="209"/>
      <c r="B434" s="161"/>
      <c r="C434" s="105"/>
      <c r="D434" s="105"/>
      <c r="E434" s="105"/>
      <c r="F434" s="105"/>
      <c r="G434" s="105"/>
      <c r="H434" s="105"/>
      <c r="I434" s="105"/>
      <c r="J434" s="105"/>
      <c r="K434" s="136"/>
      <c r="L434" s="105"/>
      <c r="M434" s="105"/>
      <c r="N434" s="105"/>
      <c r="O434" s="105"/>
      <c r="P434" s="135"/>
      <c r="Q434" s="105"/>
      <c r="R434" s="136"/>
      <c r="S434" s="105"/>
      <c r="T434" s="135"/>
      <c r="U434" s="354"/>
      <c r="V434" s="353"/>
      <c r="W434" s="130"/>
      <c r="X434" s="130"/>
      <c r="Y434" s="403"/>
      <c r="Z434" s="404"/>
    </row>
    <row r="435" spans="1:26" s="133" customFormat="1" x14ac:dyDescent="0.25">
      <c r="A435" s="209"/>
      <c r="B435" s="161"/>
      <c r="C435" s="105"/>
      <c r="D435" s="105"/>
      <c r="E435" s="105"/>
      <c r="F435" s="105"/>
      <c r="G435" s="105"/>
      <c r="H435" s="105"/>
      <c r="I435" s="105"/>
      <c r="J435" s="105"/>
      <c r="K435" s="136"/>
      <c r="L435" s="105"/>
      <c r="M435" s="105"/>
      <c r="N435" s="105"/>
      <c r="O435" s="105"/>
      <c r="P435" s="135"/>
      <c r="Q435" s="105"/>
      <c r="R435" s="136"/>
      <c r="S435" s="105"/>
      <c r="T435" s="135"/>
      <c r="U435" s="354"/>
      <c r="V435" s="353"/>
      <c r="W435" s="130"/>
      <c r="X435" s="130"/>
      <c r="Y435" s="403"/>
      <c r="Z435" s="404"/>
    </row>
    <row r="436" spans="1:26" s="133" customFormat="1" x14ac:dyDescent="0.25">
      <c r="A436" s="209"/>
      <c r="B436" s="161"/>
      <c r="C436" s="105"/>
      <c r="D436" s="105"/>
      <c r="E436" s="105"/>
      <c r="F436" s="105"/>
      <c r="G436" s="105"/>
      <c r="H436" s="105"/>
      <c r="I436" s="105"/>
      <c r="J436" s="105"/>
      <c r="K436" s="136"/>
      <c r="L436" s="105"/>
      <c r="M436" s="105"/>
      <c r="N436" s="105"/>
      <c r="O436" s="105"/>
      <c r="P436" s="135"/>
      <c r="Q436" s="105"/>
      <c r="R436" s="136"/>
      <c r="S436" s="105"/>
      <c r="T436" s="135"/>
      <c r="U436" s="354"/>
      <c r="V436" s="353"/>
      <c r="W436" s="130"/>
      <c r="X436" s="130"/>
      <c r="Y436" s="403"/>
      <c r="Z436" s="404"/>
    </row>
    <row r="437" spans="1:26" s="133" customFormat="1" x14ac:dyDescent="0.25">
      <c r="A437" s="209"/>
      <c r="B437" s="161"/>
      <c r="C437" s="105"/>
      <c r="D437" s="105"/>
      <c r="E437" s="105"/>
      <c r="F437" s="105"/>
      <c r="G437" s="105"/>
      <c r="H437" s="105"/>
      <c r="I437" s="105"/>
      <c r="J437" s="105"/>
      <c r="K437" s="136"/>
      <c r="L437" s="105"/>
      <c r="M437" s="105"/>
      <c r="N437" s="105"/>
      <c r="O437" s="105"/>
      <c r="P437" s="135"/>
      <c r="Q437" s="105"/>
      <c r="R437" s="136"/>
      <c r="S437" s="105"/>
      <c r="T437" s="135"/>
      <c r="U437" s="354"/>
      <c r="V437" s="353"/>
      <c r="W437" s="130"/>
      <c r="X437" s="130"/>
      <c r="Y437" s="403"/>
      <c r="Z437" s="404"/>
    </row>
    <row r="438" spans="1:26" s="133" customFormat="1" x14ac:dyDescent="0.25">
      <c r="A438" s="209"/>
      <c r="B438" s="161"/>
      <c r="C438" s="105"/>
      <c r="D438" s="105"/>
      <c r="E438" s="105"/>
      <c r="F438" s="105"/>
      <c r="G438" s="105"/>
      <c r="H438" s="105"/>
      <c r="I438" s="105"/>
      <c r="J438" s="105"/>
      <c r="K438" s="136"/>
      <c r="L438" s="105"/>
      <c r="M438" s="105"/>
      <c r="N438" s="105"/>
      <c r="O438" s="105"/>
      <c r="P438" s="135"/>
      <c r="Q438" s="105"/>
      <c r="R438" s="136"/>
      <c r="S438" s="105"/>
      <c r="T438" s="135"/>
      <c r="U438" s="354"/>
      <c r="V438" s="353"/>
      <c r="W438" s="130"/>
      <c r="X438" s="130"/>
      <c r="Y438" s="403"/>
      <c r="Z438" s="404"/>
    </row>
    <row r="439" spans="1:26" s="133" customFormat="1" x14ac:dyDescent="0.25">
      <c r="A439" s="209"/>
      <c r="B439" s="161"/>
      <c r="C439" s="105"/>
      <c r="D439" s="105"/>
      <c r="E439" s="105"/>
      <c r="F439" s="105"/>
      <c r="G439" s="105"/>
      <c r="H439" s="105"/>
      <c r="I439" s="105"/>
      <c r="J439" s="105"/>
      <c r="K439" s="136"/>
      <c r="L439" s="105"/>
      <c r="M439" s="105"/>
      <c r="N439" s="105"/>
      <c r="O439" s="105"/>
      <c r="P439" s="135"/>
      <c r="Q439" s="105"/>
      <c r="R439" s="136"/>
      <c r="S439" s="105"/>
      <c r="T439" s="135"/>
      <c r="U439" s="354"/>
      <c r="V439" s="353"/>
      <c r="W439" s="130"/>
      <c r="X439" s="130"/>
      <c r="Y439" s="403"/>
      <c r="Z439" s="404"/>
    </row>
    <row r="440" spans="1:26" s="133" customFormat="1" x14ac:dyDescent="0.25">
      <c r="A440" s="209"/>
      <c r="B440" s="161"/>
      <c r="C440" s="105"/>
      <c r="D440" s="105"/>
      <c r="E440" s="105"/>
      <c r="F440" s="105"/>
      <c r="G440" s="105"/>
      <c r="H440" s="105"/>
      <c r="I440" s="105"/>
      <c r="J440" s="105"/>
      <c r="K440" s="136"/>
      <c r="L440" s="105"/>
      <c r="M440" s="105"/>
      <c r="N440" s="105"/>
      <c r="O440" s="105"/>
      <c r="P440" s="135"/>
      <c r="Q440" s="105"/>
      <c r="R440" s="136"/>
      <c r="S440" s="105"/>
      <c r="T440" s="135"/>
      <c r="U440" s="354"/>
      <c r="V440" s="353"/>
      <c r="W440" s="130"/>
      <c r="X440" s="130"/>
      <c r="Y440" s="403"/>
      <c r="Z440" s="404"/>
    </row>
    <row r="441" spans="1:26" s="133" customFormat="1" x14ac:dyDescent="0.25">
      <c r="A441" s="209"/>
      <c r="B441" s="161"/>
      <c r="C441" s="105"/>
      <c r="D441" s="105"/>
      <c r="E441" s="105"/>
      <c r="F441" s="105"/>
      <c r="G441" s="105"/>
      <c r="H441" s="105"/>
      <c r="I441" s="105"/>
      <c r="J441" s="105"/>
      <c r="K441" s="136"/>
      <c r="L441" s="105"/>
      <c r="M441" s="105"/>
      <c r="N441" s="105"/>
      <c r="O441" s="105"/>
      <c r="P441" s="135"/>
      <c r="Q441" s="105"/>
      <c r="R441" s="136"/>
      <c r="S441" s="105"/>
      <c r="T441" s="135"/>
      <c r="U441" s="354"/>
      <c r="V441" s="353"/>
      <c r="W441" s="130"/>
      <c r="X441" s="130"/>
      <c r="Y441" s="403"/>
      <c r="Z441" s="404"/>
    </row>
    <row r="442" spans="1:26" s="133" customFormat="1" x14ac:dyDescent="0.25">
      <c r="A442" s="209"/>
      <c r="B442" s="161"/>
      <c r="C442" s="105"/>
      <c r="D442" s="105"/>
      <c r="E442" s="105"/>
      <c r="F442" s="105"/>
      <c r="G442" s="105"/>
      <c r="H442" s="105"/>
      <c r="I442" s="105"/>
      <c r="J442" s="105"/>
      <c r="K442" s="136"/>
      <c r="L442" s="105"/>
      <c r="M442" s="105"/>
      <c r="N442" s="105"/>
      <c r="O442" s="105"/>
      <c r="P442" s="135"/>
      <c r="Q442" s="105"/>
      <c r="R442" s="136"/>
      <c r="S442" s="105"/>
      <c r="T442" s="135"/>
      <c r="U442" s="354"/>
      <c r="V442" s="353"/>
      <c r="W442" s="130"/>
      <c r="X442" s="130"/>
      <c r="Y442" s="403"/>
      <c r="Z442" s="404"/>
    </row>
    <row r="443" spans="1:26" s="133" customFormat="1" x14ac:dyDescent="0.25">
      <c r="A443" s="209"/>
      <c r="B443" s="161"/>
      <c r="C443" s="105"/>
      <c r="D443" s="105"/>
      <c r="E443" s="105"/>
      <c r="F443" s="105"/>
      <c r="G443" s="105"/>
      <c r="H443" s="105"/>
      <c r="I443" s="105"/>
      <c r="J443" s="105"/>
      <c r="K443" s="136"/>
      <c r="L443" s="105"/>
      <c r="M443" s="105"/>
      <c r="N443" s="105"/>
      <c r="O443" s="105"/>
      <c r="P443" s="135"/>
      <c r="Q443" s="105"/>
      <c r="R443" s="136"/>
      <c r="S443" s="105"/>
      <c r="T443" s="135"/>
      <c r="U443" s="354"/>
      <c r="V443" s="353"/>
      <c r="W443" s="130"/>
      <c r="X443" s="130"/>
      <c r="Y443" s="403"/>
      <c r="Z443" s="404"/>
    </row>
    <row r="444" spans="1:26" s="133" customFormat="1" x14ac:dyDescent="0.25">
      <c r="A444" s="209"/>
      <c r="B444" s="161"/>
      <c r="C444" s="105"/>
      <c r="D444" s="105"/>
      <c r="E444" s="105"/>
      <c r="F444" s="105"/>
      <c r="G444" s="105"/>
      <c r="H444" s="105"/>
      <c r="I444" s="105"/>
      <c r="J444" s="105"/>
      <c r="K444" s="136"/>
      <c r="L444" s="105"/>
      <c r="M444" s="105"/>
      <c r="N444" s="105"/>
      <c r="O444" s="105"/>
      <c r="P444" s="135"/>
      <c r="Q444" s="105"/>
      <c r="R444" s="136"/>
      <c r="S444" s="105"/>
      <c r="T444" s="135"/>
      <c r="U444" s="354"/>
      <c r="V444" s="353"/>
      <c r="W444" s="130"/>
      <c r="X444" s="130"/>
      <c r="Y444" s="403"/>
      <c r="Z444" s="404"/>
    </row>
    <row r="445" spans="1:26" s="133" customFormat="1" x14ac:dyDescent="0.25">
      <c r="A445" s="209"/>
      <c r="B445" s="161"/>
      <c r="C445" s="105"/>
      <c r="D445" s="105"/>
      <c r="E445" s="105"/>
      <c r="F445" s="105"/>
      <c r="G445" s="105"/>
      <c r="H445" s="105"/>
      <c r="I445" s="105"/>
      <c r="J445" s="105"/>
      <c r="K445" s="136"/>
      <c r="L445" s="105"/>
      <c r="M445" s="105"/>
      <c r="N445" s="105"/>
      <c r="O445" s="105"/>
      <c r="P445" s="135"/>
      <c r="Q445" s="105"/>
      <c r="R445" s="136"/>
      <c r="S445" s="105"/>
      <c r="T445" s="135"/>
      <c r="U445" s="354"/>
      <c r="V445" s="353"/>
      <c r="W445" s="130"/>
      <c r="X445" s="130"/>
      <c r="Y445" s="403"/>
      <c r="Z445" s="404"/>
    </row>
    <row r="446" spans="1:26" s="133" customFormat="1" x14ac:dyDescent="0.25">
      <c r="A446" s="209"/>
      <c r="B446" s="161"/>
      <c r="C446" s="105"/>
      <c r="D446" s="105"/>
      <c r="E446" s="105"/>
      <c r="F446" s="105"/>
      <c r="G446" s="105"/>
      <c r="H446" s="105"/>
      <c r="I446" s="105"/>
      <c r="J446" s="105"/>
      <c r="K446" s="136"/>
      <c r="L446" s="105"/>
      <c r="M446" s="105"/>
      <c r="N446" s="105"/>
      <c r="O446" s="105"/>
      <c r="P446" s="135"/>
      <c r="Q446" s="105"/>
      <c r="R446" s="136"/>
      <c r="S446" s="105"/>
      <c r="T446" s="135"/>
      <c r="U446" s="354"/>
      <c r="V446" s="353"/>
      <c r="W446" s="130"/>
      <c r="X446" s="130"/>
      <c r="Y446" s="403"/>
      <c r="Z446" s="404"/>
    </row>
    <row r="447" spans="1:26" s="133" customFormat="1" x14ac:dyDescent="0.25">
      <c r="A447" s="209"/>
      <c r="B447" s="161"/>
      <c r="C447" s="105"/>
      <c r="D447" s="105"/>
      <c r="E447" s="105"/>
      <c r="F447" s="105"/>
      <c r="G447" s="105"/>
      <c r="H447" s="105"/>
      <c r="I447" s="105"/>
      <c r="J447" s="105"/>
      <c r="K447" s="136"/>
      <c r="L447" s="105"/>
      <c r="M447" s="105"/>
      <c r="N447" s="105"/>
      <c r="O447" s="105"/>
      <c r="P447" s="135"/>
      <c r="Q447" s="105"/>
      <c r="R447" s="136"/>
      <c r="S447" s="105"/>
      <c r="T447" s="135"/>
      <c r="U447" s="354"/>
      <c r="V447" s="353"/>
      <c r="W447" s="130"/>
      <c r="X447" s="130"/>
      <c r="Y447" s="403"/>
      <c r="Z447" s="404"/>
    </row>
    <row r="448" spans="1:26" s="133" customFormat="1" x14ac:dyDescent="0.25">
      <c r="A448" s="209"/>
      <c r="B448" s="161"/>
      <c r="C448" s="105"/>
      <c r="D448" s="105"/>
      <c r="E448" s="105"/>
      <c r="F448" s="105"/>
      <c r="G448" s="105"/>
      <c r="H448" s="105"/>
      <c r="I448" s="105"/>
      <c r="J448" s="105"/>
      <c r="K448" s="136"/>
      <c r="L448" s="105"/>
      <c r="M448" s="105"/>
      <c r="N448" s="105"/>
      <c r="O448" s="105"/>
      <c r="P448" s="135"/>
      <c r="Q448" s="105"/>
      <c r="R448" s="136"/>
      <c r="S448" s="105"/>
      <c r="T448" s="135"/>
      <c r="U448" s="354"/>
      <c r="V448" s="353"/>
      <c r="W448" s="130"/>
      <c r="X448" s="130"/>
      <c r="Y448" s="403"/>
      <c r="Z448" s="404"/>
    </row>
    <row r="449" spans="1:26" s="133" customFormat="1" x14ac:dyDescent="0.25">
      <c r="A449" s="209"/>
      <c r="B449" s="161"/>
      <c r="C449" s="105"/>
      <c r="D449" s="105"/>
      <c r="E449" s="105"/>
      <c r="F449" s="105"/>
      <c r="G449" s="105"/>
      <c r="H449" s="105"/>
      <c r="I449" s="105"/>
      <c r="J449" s="105"/>
      <c r="K449" s="136"/>
      <c r="L449" s="105"/>
      <c r="M449" s="105"/>
      <c r="N449" s="105"/>
      <c r="O449" s="105"/>
      <c r="P449" s="135"/>
      <c r="Q449" s="105"/>
      <c r="R449" s="136"/>
      <c r="S449" s="105"/>
      <c r="T449" s="135"/>
      <c r="U449" s="354"/>
      <c r="V449" s="353"/>
      <c r="W449" s="130"/>
      <c r="X449" s="130"/>
      <c r="Y449" s="403"/>
      <c r="Z449" s="404"/>
    </row>
    <row r="450" spans="1:26" s="133" customFormat="1" x14ac:dyDescent="0.25">
      <c r="A450" s="209"/>
      <c r="B450" s="161"/>
      <c r="C450" s="105"/>
      <c r="D450" s="105"/>
      <c r="E450" s="105"/>
      <c r="F450" s="105"/>
      <c r="G450" s="105"/>
      <c r="H450" s="105"/>
      <c r="I450" s="105"/>
      <c r="J450" s="105"/>
      <c r="K450" s="136"/>
      <c r="L450" s="105"/>
      <c r="M450" s="105"/>
      <c r="N450" s="105"/>
      <c r="O450" s="105"/>
      <c r="P450" s="135"/>
      <c r="Q450" s="105"/>
      <c r="R450" s="136"/>
      <c r="S450" s="105"/>
      <c r="T450" s="135"/>
      <c r="U450" s="354"/>
      <c r="V450" s="353"/>
      <c r="W450" s="130"/>
      <c r="X450" s="130"/>
      <c r="Y450" s="403"/>
      <c r="Z450" s="404"/>
    </row>
    <row r="451" spans="1:26" s="133" customFormat="1" x14ac:dyDescent="0.25">
      <c r="A451" s="209"/>
      <c r="B451" s="161"/>
      <c r="C451" s="105"/>
      <c r="D451" s="105"/>
      <c r="E451" s="105"/>
      <c r="F451" s="105"/>
      <c r="G451" s="105"/>
      <c r="H451" s="105"/>
      <c r="I451" s="105"/>
      <c r="J451" s="105"/>
      <c r="K451" s="136"/>
      <c r="L451" s="105"/>
      <c r="M451" s="105"/>
      <c r="N451" s="105"/>
      <c r="O451" s="105"/>
      <c r="P451" s="135"/>
      <c r="Q451" s="105"/>
      <c r="R451" s="136"/>
      <c r="S451" s="105"/>
      <c r="T451" s="135"/>
      <c r="U451" s="354"/>
      <c r="V451" s="353"/>
      <c r="W451" s="130"/>
      <c r="X451" s="130"/>
      <c r="Y451" s="403"/>
      <c r="Z451" s="404"/>
    </row>
    <row r="452" spans="1:26" s="133" customFormat="1" x14ac:dyDescent="0.25">
      <c r="A452" s="209"/>
      <c r="B452" s="161"/>
      <c r="C452" s="105"/>
      <c r="D452" s="105"/>
      <c r="E452" s="105"/>
      <c r="F452" s="105"/>
      <c r="G452" s="105"/>
      <c r="H452" s="105"/>
      <c r="I452" s="105"/>
      <c r="J452" s="105"/>
      <c r="K452" s="136"/>
      <c r="L452" s="105"/>
      <c r="M452" s="105"/>
      <c r="N452" s="105"/>
      <c r="O452" s="105"/>
      <c r="P452" s="135"/>
      <c r="Q452" s="105"/>
      <c r="R452" s="136"/>
      <c r="S452" s="105"/>
      <c r="T452" s="135"/>
      <c r="U452" s="354"/>
      <c r="V452" s="353"/>
      <c r="W452" s="130"/>
      <c r="X452" s="130"/>
      <c r="Y452" s="403"/>
      <c r="Z452" s="404"/>
    </row>
    <row r="453" spans="1:26" s="133" customFormat="1" x14ac:dyDescent="0.25">
      <c r="A453" s="209"/>
      <c r="B453" s="161"/>
      <c r="C453" s="105"/>
      <c r="D453" s="105"/>
      <c r="E453" s="105"/>
      <c r="F453" s="105"/>
      <c r="G453" s="105"/>
      <c r="H453" s="105"/>
      <c r="I453" s="105"/>
      <c r="J453" s="105"/>
      <c r="K453" s="136"/>
      <c r="L453" s="105"/>
      <c r="M453" s="105"/>
      <c r="N453" s="105"/>
      <c r="O453" s="105"/>
      <c r="P453" s="135"/>
      <c r="Q453" s="105"/>
      <c r="R453" s="136"/>
      <c r="S453" s="105"/>
      <c r="T453" s="135"/>
      <c r="U453" s="354"/>
      <c r="V453" s="353"/>
      <c r="W453" s="130"/>
      <c r="X453" s="130"/>
      <c r="Y453" s="403"/>
      <c r="Z453" s="404"/>
    </row>
    <row r="454" spans="1:26" s="133" customFormat="1" x14ac:dyDescent="0.25">
      <c r="A454" s="209"/>
      <c r="B454" s="161"/>
      <c r="C454" s="105"/>
      <c r="D454" s="105"/>
      <c r="E454" s="105"/>
      <c r="F454" s="105"/>
      <c r="G454" s="105"/>
      <c r="H454" s="105"/>
      <c r="I454" s="105"/>
      <c r="J454" s="105"/>
      <c r="K454" s="136"/>
      <c r="L454" s="105"/>
      <c r="M454" s="105"/>
      <c r="N454" s="105"/>
      <c r="O454" s="105"/>
      <c r="P454" s="135"/>
      <c r="Q454" s="105"/>
      <c r="R454" s="136"/>
      <c r="S454" s="105"/>
      <c r="T454" s="135"/>
      <c r="U454" s="354"/>
      <c r="V454" s="353"/>
      <c r="W454" s="130"/>
      <c r="X454" s="130"/>
      <c r="Y454" s="403"/>
      <c r="Z454" s="404"/>
    </row>
    <row r="455" spans="1:26" s="133" customFormat="1" x14ac:dyDescent="0.25">
      <c r="A455" s="209"/>
      <c r="B455" s="161"/>
      <c r="C455" s="105"/>
      <c r="D455" s="105"/>
      <c r="E455" s="105"/>
      <c r="F455" s="105"/>
      <c r="G455" s="105"/>
      <c r="H455" s="105"/>
      <c r="I455" s="105"/>
      <c r="J455" s="105"/>
      <c r="K455" s="136"/>
      <c r="L455" s="105"/>
      <c r="M455" s="105"/>
      <c r="N455" s="105"/>
      <c r="O455" s="105"/>
      <c r="P455" s="135"/>
      <c r="Q455" s="105"/>
      <c r="R455" s="136"/>
      <c r="S455" s="105"/>
      <c r="T455" s="135"/>
      <c r="U455" s="354"/>
      <c r="V455" s="353"/>
      <c r="W455" s="130"/>
      <c r="X455" s="130"/>
      <c r="Y455" s="403"/>
      <c r="Z455" s="404"/>
    </row>
    <row r="456" spans="1:26" s="133" customFormat="1" x14ac:dyDescent="0.25">
      <c r="A456" s="209"/>
      <c r="B456" s="161"/>
      <c r="C456" s="105"/>
      <c r="D456" s="105"/>
      <c r="E456" s="105"/>
      <c r="F456" s="105"/>
      <c r="G456" s="105"/>
      <c r="H456" s="105"/>
      <c r="I456" s="105"/>
      <c r="J456" s="105"/>
      <c r="K456" s="136"/>
      <c r="L456" s="105"/>
      <c r="M456" s="105"/>
      <c r="N456" s="105"/>
      <c r="O456" s="105"/>
      <c r="P456" s="135"/>
      <c r="Q456" s="105"/>
      <c r="R456" s="136"/>
      <c r="S456" s="105"/>
      <c r="T456" s="135"/>
      <c r="U456" s="354"/>
      <c r="V456" s="353"/>
      <c r="W456" s="130"/>
      <c r="X456" s="130"/>
      <c r="Y456" s="403"/>
      <c r="Z456" s="404"/>
    </row>
    <row r="457" spans="1:26" s="133" customFormat="1" x14ac:dyDescent="0.25">
      <c r="A457" s="209"/>
      <c r="B457" s="161"/>
      <c r="C457" s="105"/>
      <c r="D457" s="105"/>
      <c r="E457" s="105"/>
      <c r="F457" s="105"/>
      <c r="G457" s="105"/>
      <c r="H457" s="105"/>
      <c r="I457" s="105"/>
      <c r="J457" s="105"/>
      <c r="K457" s="136"/>
      <c r="L457" s="105"/>
      <c r="M457" s="105"/>
      <c r="N457" s="105"/>
      <c r="O457" s="105"/>
      <c r="P457" s="135"/>
      <c r="Q457" s="105"/>
      <c r="R457" s="136"/>
      <c r="S457" s="105"/>
      <c r="T457" s="135"/>
      <c r="U457" s="354"/>
      <c r="V457" s="353"/>
      <c r="W457" s="130"/>
      <c r="X457" s="130"/>
      <c r="Y457" s="403"/>
      <c r="Z457" s="404"/>
    </row>
    <row r="458" spans="1:26" s="133" customFormat="1" x14ac:dyDescent="0.25">
      <c r="A458" s="209"/>
      <c r="B458" s="161"/>
      <c r="C458" s="105"/>
      <c r="D458" s="105"/>
      <c r="E458" s="105"/>
      <c r="F458" s="105"/>
      <c r="G458" s="105"/>
      <c r="H458" s="105"/>
      <c r="I458" s="105"/>
      <c r="J458" s="105"/>
      <c r="K458" s="136"/>
      <c r="L458" s="105"/>
      <c r="M458" s="105"/>
      <c r="N458" s="105"/>
      <c r="O458" s="105"/>
      <c r="P458" s="135"/>
      <c r="Q458" s="105"/>
      <c r="R458" s="136"/>
      <c r="S458" s="105"/>
      <c r="T458" s="135"/>
      <c r="U458" s="354"/>
      <c r="V458" s="353"/>
      <c r="W458" s="130"/>
      <c r="X458" s="130"/>
      <c r="Y458" s="403"/>
      <c r="Z458" s="404"/>
    </row>
    <row r="459" spans="1:26" s="133" customFormat="1" x14ac:dyDescent="0.25">
      <c r="A459" s="209"/>
      <c r="B459" s="161"/>
      <c r="C459" s="105"/>
      <c r="D459" s="105"/>
      <c r="E459" s="105"/>
      <c r="F459" s="105"/>
      <c r="G459" s="105"/>
      <c r="H459" s="105"/>
      <c r="I459" s="105"/>
      <c r="J459" s="105"/>
      <c r="K459" s="136"/>
      <c r="L459" s="105"/>
      <c r="M459" s="105"/>
      <c r="N459" s="105"/>
      <c r="O459" s="105"/>
      <c r="P459" s="135"/>
      <c r="Q459" s="105"/>
      <c r="R459" s="136"/>
      <c r="S459" s="105"/>
      <c r="T459" s="135"/>
      <c r="U459" s="354"/>
      <c r="V459" s="353"/>
      <c r="W459" s="130"/>
      <c r="X459" s="130"/>
      <c r="Y459" s="403"/>
      <c r="Z459" s="404"/>
    </row>
    <row r="460" spans="1:26" s="133" customFormat="1" x14ac:dyDescent="0.25">
      <c r="A460" s="209"/>
      <c r="B460" s="161"/>
      <c r="C460" s="105"/>
      <c r="D460" s="105"/>
      <c r="E460" s="105"/>
      <c r="F460" s="105"/>
      <c r="G460" s="105"/>
      <c r="H460" s="105"/>
      <c r="I460" s="105"/>
      <c r="J460" s="105"/>
      <c r="K460" s="136"/>
      <c r="L460" s="105"/>
      <c r="M460" s="105"/>
      <c r="N460" s="105"/>
      <c r="O460" s="105"/>
      <c r="P460" s="135"/>
      <c r="Q460" s="105"/>
      <c r="R460" s="136"/>
      <c r="S460" s="105"/>
      <c r="T460" s="135"/>
      <c r="U460" s="354"/>
      <c r="V460" s="353"/>
      <c r="W460" s="130"/>
      <c r="X460" s="130"/>
      <c r="Y460" s="403"/>
      <c r="Z460" s="404"/>
    </row>
    <row r="461" spans="1:26" s="133" customFormat="1" x14ac:dyDescent="0.25">
      <c r="A461" s="209"/>
      <c r="B461" s="161"/>
      <c r="C461" s="105"/>
      <c r="D461" s="105"/>
      <c r="E461" s="105"/>
      <c r="F461" s="105"/>
      <c r="G461" s="105"/>
      <c r="H461" s="105"/>
      <c r="I461" s="105"/>
      <c r="J461" s="105"/>
      <c r="K461" s="136"/>
      <c r="L461" s="105"/>
      <c r="M461" s="105"/>
      <c r="N461" s="105"/>
      <c r="O461" s="105"/>
      <c r="P461" s="135"/>
      <c r="Q461" s="105"/>
      <c r="R461" s="136"/>
      <c r="S461" s="105"/>
      <c r="T461" s="135"/>
      <c r="U461" s="354"/>
      <c r="V461" s="353"/>
      <c r="W461" s="130"/>
      <c r="X461" s="130"/>
      <c r="Y461" s="403"/>
      <c r="Z461" s="404"/>
    </row>
    <row r="462" spans="1:26" s="133" customFormat="1" x14ac:dyDescent="0.25">
      <c r="A462" s="209"/>
      <c r="B462" s="161"/>
      <c r="C462" s="105"/>
      <c r="D462" s="105"/>
      <c r="E462" s="105"/>
      <c r="F462" s="105"/>
      <c r="G462" s="105"/>
      <c r="H462" s="105"/>
      <c r="I462" s="105"/>
      <c r="J462" s="105"/>
      <c r="K462" s="136"/>
      <c r="L462" s="105"/>
      <c r="M462" s="105"/>
      <c r="N462" s="105"/>
      <c r="O462" s="105"/>
      <c r="P462" s="135"/>
      <c r="Q462" s="105"/>
      <c r="R462" s="136"/>
      <c r="S462" s="105"/>
      <c r="T462" s="135"/>
      <c r="U462" s="354"/>
      <c r="V462" s="353"/>
      <c r="W462" s="130"/>
      <c r="X462" s="130"/>
      <c r="Y462" s="403"/>
      <c r="Z462" s="404"/>
    </row>
    <row r="463" spans="1:26" s="133" customFormat="1" x14ac:dyDescent="0.25">
      <c r="A463" s="209"/>
      <c r="B463" s="161"/>
      <c r="C463" s="105"/>
      <c r="D463" s="105"/>
      <c r="E463" s="105"/>
      <c r="F463" s="105"/>
      <c r="G463" s="105"/>
      <c r="H463" s="105"/>
      <c r="I463" s="105"/>
      <c r="J463" s="105"/>
      <c r="K463" s="136"/>
      <c r="L463" s="105"/>
      <c r="M463" s="105"/>
      <c r="N463" s="105"/>
      <c r="O463" s="105"/>
      <c r="P463" s="135"/>
      <c r="Q463" s="105"/>
      <c r="R463" s="136"/>
      <c r="S463" s="105"/>
      <c r="T463" s="135"/>
      <c r="U463" s="354"/>
      <c r="V463" s="353"/>
      <c r="W463" s="130"/>
      <c r="X463" s="130"/>
      <c r="Y463" s="403"/>
      <c r="Z463" s="404"/>
    </row>
    <row r="464" spans="1:26" s="133" customFormat="1" x14ac:dyDescent="0.25">
      <c r="A464" s="209"/>
      <c r="B464" s="161"/>
      <c r="C464" s="105"/>
      <c r="D464" s="105"/>
      <c r="E464" s="105"/>
      <c r="F464" s="105"/>
      <c r="G464" s="105"/>
      <c r="H464" s="105"/>
      <c r="I464" s="105"/>
      <c r="J464" s="105"/>
      <c r="K464" s="136"/>
      <c r="L464" s="105"/>
      <c r="M464" s="105"/>
      <c r="N464" s="105"/>
      <c r="O464" s="105"/>
      <c r="P464" s="135"/>
      <c r="Q464" s="105"/>
      <c r="R464" s="136"/>
      <c r="S464" s="105"/>
      <c r="T464" s="135"/>
      <c r="U464" s="354"/>
      <c r="V464" s="353"/>
      <c r="W464" s="130"/>
      <c r="X464" s="130"/>
      <c r="Y464" s="403"/>
      <c r="Z464" s="404"/>
    </row>
    <row r="465" spans="1:26" s="133" customFormat="1" x14ac:dyDescent="0.25">
      <c r="A465" s="209"/>
      <c r="B465" s="161"/>
      <c r="C465" s="105"/>
      <c r="D465" s="105"/>
      <c r="E465" s="105"/>
      <c r="F465" s="105"/>
      <c r="G465" s="105"/>
      <c r="H465" s="105"/>
      <c r="I465" s="105"/>
      <c r="J465" s="105"/>
      <c r="K465" s="136"/>
      <c r="L465" s="105"/>
      <c r="M465" s="105"/>
      <c r="N465" s="105"/>
      <c r="O465" s="105"/>
      <c r="P465" s="135"/>
      <c r="Q465" s="105"/>
      <c r="R465" s="136"/>
      <c r="S465" s="105"/>
      <c r="T465" s="135"/>
      <c r="U465" s="354"/>
      <c r="V465" s="353"/>
      <c r="W465" s="130"/>
      <c r="X465" s="130"/>
      <c r="Y465" s="403"/>
      <c r="Z465" s="404"/>
    </row>
    <row r="466" spans="1:26" s="133" customFormat="1" x14ac:dyDescent="0.25">
      <c r="A466" s="209"/>
      <c r="B466" s="161"/>
      <c r="C466" s="105"/>
      <c r="D466" s="105"/>
      <c r="E466" s="105"/>
      <c r="F466" s="105"/>
      <c r="G466" s="105"/>
      <c r="H466" s="105"/>
      <c r="I466" s="105"/>
      <c r="J466" s="105"/>
      <c r="K466" s="136"/>
      <c r="L466" s="105"/>
      <c r="M466" s="105"/>
      <c r="N466" s="105"/>
      <c r="O466" s="105"/>
      <c r="P466" s="135"/>
      <c r="Q466" s="105"/>
      <c r="R466" s="136"/>
      <c r="S466" s="105"/>
      <c r="T466" s="135"/>
      <c r="U466" s="354"/>
      <c r="V466" s="353"/>
      <c r="W466" s="130"/>
      <c r="X466" s="130"/>
      <c r="Y466" s="403"/>
      <c r="Z466" s="404"/>
    </row>
    <row r="467" spans="1:26" s="133" customFormat="1" x14ac:dyDescent="0.25">
      <c r="A467" s="209"/>
      <c r="B467" s="161"/>
      <c r="C467" s="105"/>
      <c r="D467" s="105"/>
      <c r="E467" s="105"/>
      <c r="F467" s="105"/>
      <c r="G467" s="105"/>
      <c r="H467" s="105"/>
      <c r="I467" s="105"/>
      <c r="J467" s="105"/>
      <c r="K467" s="136"/>
      <c r="L467" s="105"/>
      <c r="M467" s="105"/>
      <c r="N467" s="105"/>
      <c r="O467" s="105"/>
      <c r="P467" s="135"/>
      <c r="Q467" s="105"/>
      <c r="R467" s="136"/>
      <c r="S467" s="105"/>
      <c r="T467" s="135"/>
      <c r="U467" s="354"/>
      <c r="V467" s="353"/>
      <c r="W467" s="130"/>
      <c r="X467" s="130"/>
      <c r="Y467" s="403"/>
      <c r="Z467" s="404"/>
    </row>
    <row r="468" spans="1:26" s="133" customFormat="1" x14ac:dyDescent="0.25">
      <c r="A468" s="209"/>
      <c r="B468" s="161"/>
      <c r="C468" s="105"/>
      <c r="D468" s="105"/>
      <c r="E468" s="105"/>
      <c r="F468" s="105"/>
      <c r="G468" s="105"/>
      <c r="H468" s="105"/>
      <c r="I468" s="105"/>
      <c r="J468" s="105"/>
      <c r="K468" s="136"/>
      <c r="L468" s="105"/>
      <c r="M468" s="105"/>
      <c r="N468" s="105"/>
      <c r="O468" s="105"/>
      <c r="P468" s="135"/>
      <c r="Q468" s="105"/>
      <c r="R468" s="136"/>
      <c r="S468" s="105"/>
      <c r="T468" s="135"/>
      <c r="U468" s="354"/>
      <c r="V468" s="353"/>
      <c r="W468" s="130"/>
      <c r="X468" s="130"/>
      <c r="Y468" s="403"/>
      <c r="Z468" s="404"/>
    </row>
    <row r="469" spans="1:26" s="133" customFormat="1" x14ac:dyDescent="0.25">
      <c r="A469" s="209"/>
      <c r="B469" s="161"/>
      <c r="C469" s="105"/>
      <c r="D469" s="105"/>
      <c r="E469" s="105"/>
      <c r="F469" s="105"/>
      <c r="G469" s="105"/>
      <c r="H469" s="105"/>
      <c r="I469" s="105"/>
      <c r="J469" s="105"/>
      <c r="K469" s="136"/>
      <c r="L469" s="105"/>
      <c r="M469" s="105"/>
      <c r="N469" s="105"/>
      <c r="O469" s="105"/>
      <c r="P469" s="135"/>
      <c r="Q469" s="105"/>
      <c r="R469" s="136"/>
      <c r="S469" s="105"/>
      <c r="T469" s="135"/>
      <c r="U469" s="354"/>
      <c r="V469" s="353"/>
      <c r="W469" s="130"/>
      <c r="X469" s="130"/>
      <c r="Y469" s="403"/>
      <c r="Z469" s="404"/>
    </row>
    <row r="470" spans="1:26" s="133" customFormat="1" x14ac:dyDescent="0.25">
      <c r="A470" s="209"/>
      <c r="B470" s="161"/>
      <c r="C470" s="105"/>
      <c r="D470" s="105"/>
      <c r="E470" s="105"/>
      <c r="F470" s="105"/>
      <c r="G470" s="105"/>
      <c r="H470" s="105"/>
      <c r="I470" s="105"/>
      <c r="J470" s="105"/>
      <c r="K470" s="136"/>
      <c r="L470" s="105"/>
      <c r="M470" s="105"/>
      <c r="N470" s="105"/>
      <c r="O470" s="105"/>
      <c r="P470" s="135"/>
      <c r="Q470" s="105"/>
      <c r="R470" s="136"/>
      <c r="S470" s="105"/>
      <c r="T470" s="135"/>
      <c r="U470" s="354"/>
      <c r="V470" s="353"/>
      <c r="W470" s="130"/>
      <c r="X470" s="130"/>
      <c r="Y470" s="403"/>
      <c r="Z470" s="404"/>
    </row>
    <row r="471" spans="1:26" s="133" customFormat="1" x14ac:dyDescent="0.25">
      <c r="A471" s="209"/>
      <c r="B471" s="161"/>
      <c r="C471" s="105"/>
      <c r="D471" s="105"/>
      <c r="E471" s="105"/>
      <c r="F471" s="105"/>
      <c r="G471" s="105"/>
      <c r="H471" s="105"/>
      <c r="I471" s="105"/>
      <c r="J471" s="105"/>
      <c r="K471" s="136"/>
      <c r="L471" s="105"/>
      <c r="M471" s="105"/>
      <c r="N471" s="105"/>
      <c r="O471" s="105"/>
      <c r="P471" s="135"/>
      <c r="Q471" s="105"/>
      <c r="R471" s="136"/>
      <c r="S471" s="105"/>
      <c r="T471" s="135"/>
      <c r="U471" s="354"/>
      <c r="V471" s="353"/>
      <c r="W471" s="130"/>
      <c r="X471" s="130"/>
      <c r="Y471" s="403"/>
      <c r="Z471" s="404"/>
    </row>
    <row r="472" spans="1:26" s="133" customFormat="1" x14ac:dyDescent="0.25">
      <c r="A472" s="209"/>
      <c r="B472" s="161"/>
      <c r="C472" s="105"/>
      <c r="D472" s="105"/>
      <c r="E472" s="105"/>
      <c r="F472" s="105"/>
      <c r="G472" s="105"/>
      <c r="H472" s="105"/>
      <c r="I472" s="105"/>
      <c r="J472" s="105"/>
      <c r="K472" s="136"/>
      <c r="L472" s="105"/>
      <c r="M472" s="105"/>
      <c r="N472" s="105"/>
      <c r="O472" s="105"/>
      <c r="P472" s="135"/>
      <c r="Q472" s="105"/>
      <c r="R472" s="136"/>
      <c r="S472" s="105"/>
      <c r="T472" s="135"/>
      <c r="U472" s="354"/>
      <c r="V472" s="353"/>
      <c r="W472" s="130"/>
      <c r="X472" s="130"/>
      <c r="Y472" s="403"/>
      <c r="Z472" s="404"/>
    </row>
    <row r="473" spans="1:26" s="133" customFormat="1" x14ac:dyDescent="0.25">
      <c r="A473" s="209"/>
      <c r="B473" s="161"/>
      <c r="C473" s="105"/>
      <c r="D473" s="105"/>
      <c r="E473" s="105"/>
      <c r="F473" s="105"/>
      <c r="G473" s="105"/>
      <c r="H473" s="105"/>
      <c r="I473" s="105"/>
      <c r="J473" s="105"/>
      <c r="K473" s="136"/>
      <c r="L473" s="105"/>
      <c r="M473" s="105"/>
      <c r="N473" s="105"/>
      <c r="O473" s="105"/>
      <c r="P473" s="135"/>
      <c r="Q473" s="105"/>
      <c r="R473" s="136"/>
      <c r="S473" s="105"/>
      <c r="T473" s="135"/>
      <c r="U473" s="354"/>
      <c r="V473" s="353"/>
      <c r="W473" s="130"/>
      <c r="X473" s="130"/>
      <c r="Y473" s="403"/>
      <c r="Z473" s="404"/>
    </row>
    <row r="474" spans="1:26" s="133" customFormat="1" x14ac:dyDescent="0.25">
      <c r="A474" s="209"/>
      <c r="B474" s="161"/>
      <c r="C474" s="105"/>
      <c r="D474" s="105"/>
      <c r="E474" s="105"/>
      <c r="F474" s="105"/>
      <c r="G474" s="105"/>
      <c r="H474" s="105"/>
      <c r="I474" s="105"/>
      <c r="J474" s="105"/>
      <c r="K474" s="136"/>
      <c r="L474" s="105"/>
      <c r="M474" s="105"/>
      <c r="N474" s="105"/>
      <c r="O474" s="105"/>
      <c r="P474" s="135"/>
      <c r="Q474" s="105"/>
      <c r="R474" s="136"/>
      <c r="S474" s="105"/>
      <c r="T474" s="135"/>
      <c r="U474" s="354"/>
      <c r="V474" s="353"/>
      <c r="W474" s="130"/>
      <c r="X474" s="130"/>
      <c r="Y474" s="403"/>
      <c r="Z474" s="404"/>
    </row>
    <row r="475" spans="1:26" s="133" customFormat="1" x14ac:dyDescent="0.25">
      <c r="A475" s="209"/>
      <c r="B475" s="161"/>
      <c r="C475" s="105"/>
      <c r="D475" s="105"/>
      <c r="E475" s="105"/>
      <c r="F475" s="105"/>
      <c r="G475" s="105"/>
      <c r="H475" s="105"/>
      <c r="I475" s="105"/>
      <c r="J475" s="105"/>
      <c r="K475" s="136"/>
      <c r="L475" s="105"/>
      <c r="M475" s="105"/>
      <c r="N475" s="105"/>
      <c r="O475" s="105"/>
      <c r="P475" s="135"/>
      <c r="Q475" s="105"/>
      <c r="R475" s="136"/>
      <c r="S475" s="105"/>
      <c r="T475" s="135"/>
      <c r="U475" s="354"/>
      <c r="V475" s="353"/>
      <c r="W475" s="130"/>
      <c r="X475" s="130"/>
      <c r="Y475" s="403"/>
      <c r="Z475" s="404"/>
    </row>
    <row r="476" spans="1:26" s="133" customFormat="1" x14ac:dyDescent="0.25">
      <c r="A476" s="209"/>
      <c r="B476" s="161"/>
      <c r="C476" s="105"/>
      <c r="D476" s="105"/>
      <c r="E476" s="105"/>
      <c r="F476" s="105"/>
      <c r="G476" s="105"/>
      <c r="H476" s="105"/>
      <c r="I476" s="105"/>
      <c r="J476" s="105"/>
      <c r="K476" s="136"/>
      <c r="L476" s="105"/>
      <c r="M476" s="105"/>
      <c r="N476" s="105"/>
      <c r="O476" s="105"/>
      <c r="P476" s="135"/>
      <c r="Q476" s="105"/>
      <c r="R476" s="136"/>
      <c r="S476" s="105"/>
      <c r="T476" s="135"/>
      <c r="U476" s="354"/>
      <c r="V476" s="353"/>
      <c r="W476" s="130"/>
      <c r="X476" s="130"/>
      <c r="Y476" s="403"/>
      <c r="Z476" s="404"/>
    </row>
    <row r="477" spans="1:26" s="133" customFormat="1" x14ac:dyDescent="0.25">
      <c r="A477" s="209"/>
      <c r="B477" s="161"/>
      <c r="C477" s="105"/>
      <c r="D477" s="105"/>
      <c r="E477" s="105"/>
      <c r="F477" s="105"/>
      <c r="G477" s="105"/>
      <c r="H477" s="105"/>
      <c r="I477" s="105"/>
      <c r="J477" s="105"/>
      <c r="K477" s="136"/>
      <c r="L477" s="105"/>
      <c r="M477" s="105"/>
      <c r="N477" s="105"/>
      <c r="O477" s="105"/>
      <c r="P477" s="135"/>
      <c r="Q477" s="105"/>
      <c r="R477" s="136"/>
      <c r="S477" s="105"/>
      <c r="T477" s="135"/>
      <c r="U477" s="354"/>
      <c r="V477" s="353"/>
      <c r="W477" s="130"/>
      <c r="X477" s="130"/>
      <c r="Y477" s="403"/>
      <c r="Z477" s="404"/>
    </row>
    <row r="478" spans="1:26" s="133" customFormat="1" x14ac:dyDescent="0.25">
      <c r="A478" s="209"/>
      <c r="B478" s="161"/>
      <c r="C478" s="105"/>
      <c r="D478" s="105"/>
      <c r="E478" s="105"/>
      <c r="F478" s="105"/>
      <c r="G478" s="105"/>
      <c r="H478" s="105"/>
      <c r="I478" s="105"/>
      <c r="J478" s="105"/>
      <c r="K478" s="136"/>
      <c r="L478" s="105"/>
      <c r="M478" s="105"/>
      <c r="N478" s="105"/>
      <c r="O478" s="105"/>
      <c r="P478" s="135"/>
      <c r="Q478" s="105"/>
      <c r="R478" s="136"/>
      <c r="S478" s="105"/>
      <c r="T478" s="135"/>
      <c r="U478" s="354"/>
      <c r="V478" s="353"/>
      <c r="W478" s="130"/>
      <c r="X478" s="130"/>
      <c r="Y478" s="403"/>
      <c r="Z478" s="404"/>
    </row>
    <row r="479" spans="1:26" s="133" customFormat="1" x14ac:dyDescent="0.25">
      <c r="A479" s="209"/>
      <c r="B479" s="161"/>
      <c r="C479" s="105"/>
      <c r="D479" s="105"/>
      <c r="E479" s="105"/>
      <c r="F479" s="105"/>
      <c r="G479" s="105"/>
      <c r="H479" s="105"/>
      <c r="I479" s="105"/>
      <c r="J479" s="105"/>
      <c r="K479" s="136"/>
      <c r="L479" s="105"/>
      <c r="M479" s="105"/>
      <c r="N479" s="105"/>
      <c r="O479" s="105"/>
      <c r="P479" s="135"/>
      <c r="Q479" s="105"/>
      <c r="R479" s="136"/>
      <c r="S479" s="105"/>
      <c r="T479" s="135"/>
      <c r="U479" s="354"/>
      <c r="V479" s="353"/>
      <c r="W479" s="130"/>
      <c r="X479" s="130"/>
      <c r="Y479" s="403"/>
      <c r="Z479" s="404"/>
    </row>
    <row r="480" spans="1:26" s="133" customFormat="1" x14ac:dyDescent="0.25">
      <c r="A480" s="209"/>
      <c r="B480" s="161"/>
      <c r="C480" s="105"/>
      <c r="D480" s="105"/>
      <c r="E480" s="105"/>
      <c r="F480" s="105"/>
      <c r="G480" s="105"/>
      <c r="H480" s="105"/>
      <c r="I480" s="105"/>
      <c r="J480" s="105"/>
      <c r="K480" s="136"/>
      <c r="L480" s="105"/>
      <c r="M480" s="105"/>
      <c r="N480" s="105"/>
      <c r="O480" s="105"/>
      <c r="P480" s="135"/>
      <c r="Q480" s="105"/>
      <c r="R480" s="136"/>
      <c r="S480" s="105"/>
      <c r="T480" s="135"/>
      <c r="U480" s="354"/>
      <c r="V480" s="353"/>
      <c r="W480" s="130"/>
      <c r="X480" s="130"/>
      <c r="Y480" s="403"/>
      <c r="Z480" s="404"/>
    </row>
    <row r="481" spans="1:26" s="133" customFormat="1" x14ac:dyDescent="0.25">
      <c r="A481" s="209"/>
      <c r="B481" s="161"/>
      <c r="C481" s="105"/>
      <c r="D481" s="105"/>
      <c r="E481" s="105"/>
      <c r="F481" s="105"/>
      <c r="G481" s="105"/>
      <c r="H481" s="105"/>
      <c r="I481" s="105"/>
      <c r="J481" s="105"/>
      <c r="K481" s="136"/>
      <c r="L481" s="105"/>
      <c r="M481" s="105"/>
      <c r="N481" s="105"/>
      <c r="O481" s="105"/>
      <c r="P481" s="135"/>
      <c r="Q481" s="105"/>
      <c r="R481" s="136"/>
      <c r="S481" s="105"/>
      <c r="T481" s="135"/>
      <c r="U481" s="354"/>
      <c r="V481" s="353"/>
      <c r="W481" s="130"/>
      <c r="X481" s="130"/>
      <c r="Y481" s="403"/>
      <c r="Z481" s="404"/>
    </row>
    <row r="482" spans="1:26" s="133" customFormat="1" x14ac:dyDescent="0.25">
      <c r="A482" s="209"/>
      <c r="B482" s="161"/>
      <c r="C482" s="105"/>
      <c r="D482" s="105"/>
      <c r="E482" s="105"/>
      <c r="F482" s="105"/>
      <c r="G482" s="105"/>
      <c r="H482" s="105"/>
      <c r="I482" s="105"/>
      <c r="J482" s="105"/>
      <c r="K482" s="136"/>
      <c r="L482" s="105"/>
      <c r="M482" s="105"/>
      <c r="N482" s="105"/>
      <c r="O482" s="105"/>
      <c r="P482" s="135"/>
      <c r="Q482" s="105"/>
      <c r="R482" s="136"/>
      <c r="S482" s="105"/>
      <c r="T482" s="135"/>
      <c r="U482" s="354"/>
      <c r="V482" s="353"/>
      <c r="W482" s="130"/>
      <c r="X482" s="130"/>
      <c r="Y482" s="403"/>
      <c r="Z482" s="404"/>
    </row>
    <row r="483" spans="1:26" s="133" customFormat="1" x14ac:dyDescent="0.25">
      <c r="A483" s="209"/>
      <c r="B483" s="161"/>
      <c r="C483" s="105"/>
      <c r="D483" s="105"/>
      <c r="E483" s="105"/>
      <c r="F483" s="105"/>
      <c r="G483" s="105"/>
      <c r="H483" s="105"/>
      <c r="I483" s="105"/>
      <c r="J483" s="105"/>
      <c r="K483" s="136"/>
      <c r="L483" s="105"/>
      <c r="M483" s="105"/>
      <c r="N483" s="105"/>
      <c r="O483" s="105"/>
      <c r="P483" s="135"/>
      <c r="Q483" s="105"/>
      <c r="R483" s="136"/>
      <c r="S483" s="105"/>
      <c r="T483" s="135"/>
      <c r="U483" s="354"/>
      <c r="V483" s="353"/>
      <c r="W483" s="130"/>
      <c r="X483" s="130"/>
      <c r="Y483" s="403"/>
      <c r="Z483" s="404"/>
    </row>
    <row r="484" spans="1:26" s="133" customFormat="1" x14ac:dyDescent="0.25">
      <c r="A484" s="209"/>
      <c r="B484" s="161"/>
      <c r="C484" s="105"/>
      <c r="D484" s="105"/>
      <c r="E484" s="105"/>
      <c r="F484" s="105"/>
      <c r="G484" s="105"/>
      <c r="H484" s="105"/>
      <c r="I484" s="105"/>
      <c r="J484" s="105"/>
      <c r="K484" s="136"/>
      <c r="L484" s="105"/>
      <c r="M484" s="105"/>
      <c r="N484" s="105"/>
      <c r="O484" s="105"/>
      <c r="P484" s="135"/>
      <c r="Q484" s="105"/>
      <c r="R484" s="136"/>
      <c r="S484" s="105"/>
      <c r="T484" s="135"/>
      <c r="U484" s="354"/>
      <c r="V484" s="353"/>
      <c r="W484" s="130"/>
      <c r="X484" s="130"/>
      <c r="Y484" s="403"/>
      <c r="Z484" s="404"/>
    </row>
    <row r="485" spans="1:26" s="133" customFormat="1" x14ac:dyDescent="0.25">
      <c r="A485" s="209"/>
      <c r="B485" s="161"/>
      <c r="C485" s="105"/>
      <c r="D485" s="105"/>
      <c r="E485" s="105"/>
      <c r="F485" s="105"/>
      <c r="G485" s="105"/>
      <c r="H485" s="105"/>
      <c r="I485" s="105"/>
      <c r="J485" s="105"/>
      <c r="K485" s="136"/>
      <c r="L485" s="105"/>
      <c r="M485" s="105"/>
      <c r="N485" s="105"/>
      <c r="O485" s="105"/>
      <c r="P485" s="135"/>
      <c r="Q485" s="105"/>
      <c r="R485" s="136"/>
      <c r="S485" s="105"/>
      <c r="T485" s="135"/>
      <c r="U485" s="354"/>
      <c r="V485" s="353"/>
      <c r="W485" s="130"/>
      <c r="X485" s="130"/>
      <c r="Y485" s="403"/>
      <c r="Z485" s="404"/>
    </row>
    <row r="486" spans="1:26" s="133" customFormat="1" x14ac:dyDescent="0.25">
      <c r="A486" s="209"/>
      <c r="B486" s="161"/>
      <c r="C486" s="105"/>
      <c r="D486" s="105"/>
      <c r="E486" s="105"/>
      <c r="F486" s="105"/>
      <c r="G486" s="105"/>
      <c r="H486" s="105"/>
      <c r="I486" s="105"/>
      <c r="J486" s="105"/>
      <c r="K486" s="136"/>
      <c r="L486" s="105"/>
      <c r="M486" s="105"/>
      <c r="N486" s="105"/>
      <c r="O486" s="105"/>
      <c r="P486" s="135"/>
      <c r="Q486" s="105"/>
      <c r="R486" s="136"/>
      <c r="S486" s="105"/>
      <c r="T486" s="135"/>
      <c r="U486" s="354"/>
      <c r="V486" s="353"/>
      <c r="W486" s="130"/>
      <c r="X486" s="130"/>
      <c r="Y486" s="403"/>
      <c r="Z486" s="404"/>
    </row>
    <row r="487" spans="1:26" s="133" customFormat="1" x14ac:dyDescent="0.25">
      <c r="A487" s="209"/>
      <c r="B487" s="161"/>
      <c r="C487" s="105"/>
      <c r="D487" s="105"/>
      <c r="E487" s="105"/>
      <c r="F487" s="105"/>
      <c r="G487" s="105"/>
      <c r="H487" s="105"/>
      <c r="I487" s="105"/>
      <c r="J487" s="105"/>
      <c r="K487" s="136"/>
      <c r="L487" s="105"/>
      <c r="M487" s="105"/>
      <c r="N487" s="105"/>
      <c r="O487" s="105"/>
      <c r="P487" s="135"/>
      <c r="Q487" s="105"/>
      <c r="R487" s="136"/>
      <c r="S487" s="105"/>
      <c r="T487" s="135"/>
      <c r="U487" s="354"/>
      <c r="V487" s="353"/>
      <c r="W487" s="130"/>
      <c r="X487" s="130"/>
      <c r="Y487" s="403"/>
      <c r="Z487" s="404"/>
    </row>
    <row r="488" spans="1:26" s="133" customFormat="1" x14ac:dyDescent="0.25">
      <c r="A488" s="209"/>
      <c r="B488" s="161"/>
      <c r="C488" s="105"/>
      <c r="D488" s="105"/>
      <c r="E488" s="105"/>
      <c r="F488" s="105"/>
      <c r="G488" s="105"/>
      <c r="H488" s="105"/>
      <c r="I488" s="105"/>
      <c r="J488" s="105"/>
      <c r="K488" s="136"/>
      <c r="L488" s="105"/>
      <c r="M488" s="105"/>
      <c r="N488" s="105"/>
      <c r="O488" s="105"/>
      <c r="P488" s="135"/>
      <c r="Q488" s="105"/>
      <c r="R488" s="136"/>
      <c r="S488" s="105"/>
      <c r="T488" s="135"/>
      <c r="U488" s="354"/>
      <c r="V488" s="353"/>
      <c r="W488" s="130"/>
      <c r="X488" s="130"/>
      <c r="Y488" s="403"/>
      <c r="Z488" s="404"/>
    </row>
    <row r="489" spans="1:26" s="133" customFormat="1" x14ac:dyDescent="0.25">
      <c r="A489" s="209"/>
      <c r="B489" s="161"/>
      <c r="C489" s="105"/>
      <c r="D489" s="105"/>
      <c r="E489" s="105"/>
      <c r="F489" s="105"/>
      <c r="G489" s="105"/>
      <c r="H489" s="105"/>
      <c r="I489" s="105"/>
      <c r="J489" s="105"/>
      <c r="K489" s="136"/>
      <c r="L489" s="105"/>
      <c r="M489" s="105"/>
      <c r="N489" s="105"/>
      <c r="O489" s="105"/>
      <c r="P489" s="135"/>
      <c r="Q489" s="105"/>
      <c r="R489" s="136"/>
      <c r="S489" s="105"/>
      <c r="T489" s="135"/>
      <c r="U489" s="354"/>
      <c r="V489" s="353"/>
      <c r="W489" s="130"/>
      <c r="X489" s="130"/>
      <c r="Y489" s="403"/>
      <c r="Z489" s="404"/>
    </row>
    <row r="490" spans="1:26" s="133" customFormat="1" x14ac:dyDescent="0.25">
      <c r="A490" s="209"/>
      <c r="B490" s="161"/>
      <c r="C490" s="105"/>
      <c r="D490" s="105"/>
      <c r="E490" s="105"/>
      <c r="F490" s="105"/>
      <c r="G490" s="105"/>
      <c r="H490" s="105"/>
      <c r="I490" s="105"/>
      <c r="J490" s="105"/>
      <c r="K490" s="136"/>
      <c r="L490" s="105"/>
      <c r="M490" s="105"/>
      <c r="N490" s="105"/>
      <c r="O490" s="105"/>
      <c r="P490" s="135"/>
      <c r="Q490" s="105"/>
      <c r="R490" s="136"/>
      <c r="S490" s="105"/>
      <c r="T490" s="135"/>
      <c r="U490" s="354"/>
      <c r="V490" s="353"/>
      <c r="W490" s="130"/>
      <c r="X490" s="130"/>
      <c r="Y490" s="403"/>
      <c r="Z490" s="404"/>
    </row>
    <row r="491" spans="1:26" s="133" customFormat="1" x14ac:dyDescent="0.25">
      <c r="A491" s="209"/>
      <c r="B491" s="161"/>
      <c r="C491" s="105"/>
      <c r="D491" s="105"/>
      <c r="E491" s="105"/>
      <c r="F491" s="105"/>
      <c r="G491" s="105"/>
      <c r="H491" s="105"/>
      <c r="I491" s="105"/>
      <c r="J491" s="105"/>
      <c r="K491" s="136"/>
      <c r="L491" s="105"/>
      <c r="M491" s="105"/>
      <c r="N491" s="105"/>
      <c r="O491" s="105"/>
      <c r="P491" s="135"/>
      <c r="Q491" s="105"/>
      <c r="R491" s="136"/>
      <c r="S491" s="105"/>
      <c r="T491" s="135"/>
      <c r="U491" s="354"/>
      <c r="V491" s="353"/>
      <c r="W491" s="130"/>
      <c r="X491" s="130"/>
      <c r="Y491" s="403"/>
      <c r="Z491" s="404"/>
    </row>
    <row r="492" spans="1:26" s="133" customFormat="1" x14ac:dyDescent="0.25">
      <c r="A492" s="209"/>
      <c r="B492" s="161"/>
      <c r="C492" s="105"/>
      <c r="D492" s="105"/>
      <c r="E492" s="105"/>
      <c r="F492" s="105"/>
      <c r="G492" s="105"/>
      <c r="H492" s="105"/>
      <c r="I492" s="105"/>
      <c r="J492" s="105"/>
      <c r="K492" s="136"/>
      <c r="L492" s="105"/>
      <c r="M492" s="105"/>
      <c r="N492" s="105"/>
      <c r="O492" s="105"/>
      <c r="P492" s="135"/>
      <c r="Q492" s="105"/>
      <c r="R492" s="136"/>
      <c r="S492" s="105"/>
      <c r="T492" s="135"/>
      <c r="U492" s="354"/>
      <c r="V492" s="353"/>
      <c r="W492" s="130"/>
      <c r="X492" s="130"/>
      <c r="Y492" s="403"/>
      <c r="Z492" s="404"/>
    </row>
    <row r="493" spans="1:26" s="133" customFormat="1" x14ac:dyDescent="0.25">
      <c r="A493" s="209"/>
      <c r="B493" s="161"/>
      <c r="C493" s="105"/>
      <c r="D493" s="105"/>
      <c r="E493" s="105"/>
      <c r="F493" s="105"/>
      <c r="G493" s="105"/>
      <c r="H493" s="105"/>
      <c r="I493" s="105"/>
      <c r="J493" s="105"/>
      <c r="K493" s="136"/>
      <c r="L493" s="105"/>
      <c r="M493" s="105"/>
      <c r="N493" s="105"/>
      <c r="O493" s="105"/>
      <c r="P493" s="135"/>
      <c r="Q493" s="105"/>
      <c r="R493" s="136"/>
      <c r="S493" s="105"/>
      <c r="T493" s="135"/>
      <c r="U493" s="354"/>
      <c r="V493" s="353"/>
      <c r="W493" s="130"/>
      <c r="X493" s="130"/>
      <c r="Y493" s="403"/>
      <c r="Z493" s="404"/>
    </row>
    <row r="494" spans="1:26" s="133" customFormat="1" x14ac:dyDescent="0.25">
      <c r="A494" s="209"/>
      <c r="B494" s="161"/>
      <c r="C494" s="105"/>
      <c r="D494" s="105"/>
      <c r="E494" s="105"/>
      <c r="F494" s="105"/>
      <c r="G494" s="105"/>
      <c r="H494" s="105"/>
      <c r="I494" s="105"/>
      <c r="J494" s="105"/>
      <c r="K494" s="136"/>
      <c r="L494" s="105"/>
      <c r="M494" s="105"/>
      <c r="N494" s="105"/>
      <c r="O494" s="105"/>
      <c r="P494" s="135"/>
      <c r="Q494" s="105"/>
      <c r="R494" s="136"/>
      <c r="S494" s="105"/>
      <c r="T494" s="135"/>
      <c r="U494" s="354"/>
      <c r="V494" s="353"/>
      <c r="W494" s="130"/>
      <c r="X494" s="130"/>
      <c r="Y494" s="403"/>
      <c r="Z494" s="404"/>
    </row>
    <row r="495" spans="1:26" s="133" customFormat="1" x14ac:dyDescent="0.25">
      <c r="A495" s="209"/>
      <c r="B495" s="161"/>
      <c r="C495" s="105"/>
      <c r="D495" s="105"/>
      <c r="E495" s="105"/>
      <c r="F495" s="105"/>
      <c r="G495" s="105"/>
      <c r="H495" s="105"/>
      <c r="I495" s="105"/>
      <c r="J495" s="105"/>
      <c r="K495" s="136"/>
      <c r="L495" s="105"/>
      <c r="M495" s="105"/>
      <c r="N495" s="105"/>
      <c r="O495" s="105"/>
      <c r="P495" s="135"/>
      <c r="Q495" s="105"/>
      <c r="R495" s="136"/>
      <c r="S495" s="105"/>
      <c r="T495" s="135"/>
      <c r="U495" s="354"/>
      <c r="V495" s="353"/>
      <c r="W495" s="130"/>
      <c r="X495" s="130"/>
      <c r="Y495" s="403"/>
      <c r="Z495" s="404"/>
    </row>
    <row r="496" spans="1:26" s="133" customFormat="1" x14ac:dyDescent="0.25">
      <c r="A496" s="209"/>
      <c r="B496" s="161"/>
      <c r="C496" s="105"/>
      <c r="D496" s="105"/>
      <c r="E496" s="105"/>
      <c r="F496" s="105"/>
      <c r="G496" s="105"/>
      <c r="H496" s="105"/>
      <c r="I496" s="105"/>
      <c r="J496" s="105"/>
      <c r="K496" s="136"/>
      <c r="L496" s="105"/>
      <c r="M496" s="105"/>
      <c r="N496" s="105"/>
      <c r="O496" s="105"/>
      <c r="P496" s="135"/>
      <c r="Q496" s="105"/>
      <c r="R496" s="136"/>
      <c r="S496" s="105"/>
      <c r="T496" s="135"/>
      <c r="U496" s="354"/>
      <c r="V496" s="353"/>
      <c r="W496" s="130"/>
      <c r="X496" s="130"/>
      <c r="Y496" s="403"/>
      <c r="Z496" s="404"/>
    </row>
    <row r="497" spans="1:26" s="133" customFormat="1" x14ac:dyDescent="0.25">
      <c r="A497" s="209"/>
      <c r="B497" s="161"/>
      <c r="C497" s="105"/>
      <c r="D497" s="105"/>
      <c r="E497" s="105"/>
      <c r="F497" s="105"/>
      <c r="G497" s="105"/>
      <c r="H497" s="105"/>
      <c r="I497" s="105"/>
      <c r="J497" s="105"/>
      <c r="K497" s="136"/>
      <c r="L497" s="105"/>
      <c r="M497" s="105"/>
      <c r="N497" s="105"/>
      <c r="O497" s="105"/>
      <c r="P497" s="135"/>
      <c r="Q497" s="105"/>
      <c r="R497" s="136"/>
      <c r="S497" s="105"/>
      <c r="T497" s="135"/>
      <c r="U497" s="354"/>
      <c r="V497" s="353"/>
      <c r="W497" s="130"/>
      <c r="X497" s="130"/>
      <c r="Y497" s="403"/>
      <c r="Z497" s="404"/>
    </row>
    <row r="498" spans="1:26" s="133" customFormat="1" x14ac:dyDescent="0.25">
      <c r="A498" s="209"/>
      <c r="B498" s="161"/>
      <c r="C498" s="105"/>
      <c r="D498" s="105"/>
      <c r="E498" s="105"/>
      <c r="F498" s="105"/>
      <c r="G498" s="105"/>
      <c r="H498" s="105"/>
      <c r="I498" s="105"/>
      <c r="J498" s="105"/>
      <c r="K498" s="136"/>
      <c r="L498" s="105"/>
      <c r="M498" s="105"/>
      <c r="N498" s="105"/>
      <c r="O498" s="105"/>
      <c r="P498" s="135"/>
      <c r="Q498" s="105"/>
      <c r="R498" s="136"/>
      <c r="S498" s="105"/>
      <c r="T498" s="135"/>
      <c r="U498" s="354"/>
      <c r="V498" s="353"/>
      <c r="W498" s="130"/>
      <c r="X498" s="130"/>
      <c r="Y498" s="403"/>
      <c r="Z498" s="404"/>
    </row>
    <row r="499" spans="1:26" s="133" customFormat="1" x14ac:dyDescent="0.25">
      <c r="A499" s="209"/>
      <c r="B499" s="161"/>
      <c r="C499" s="105"/>
      <c r="D499" s="105"/>
      <c r="E499" s="105"/>
      <c r="F499" s="105"/>
      <c r="G499" s="105"/>
      <c r="H499" s="105"/>
      <c r="I499" s="105"/>
      <c r="J499" s="105"/>
      <c r="K499" s="136"/>
      <c r="L499" s="105"/>
      <c r="M499" s="105"/>
      <c r="N499" s="105"/>
      <c r="O499" s="105"/>
      <c r="P499" s="135"/>
      <c r="Q499" s="105"/>
      <c r="R499" s="136"/>
      <c r="S499" s="105"/>
      <c r="T499" s="135"/>
      <c r="U499" s="354"/>
      <c r="V499" s="353"/>
      <c r="W499" s="130"/>
      <c r="X499" s="130"/>
      <c r="Y499" s="403"/>
      <c r="Z499" s="404"/>
    </row>
    <row r="500" spans="1:26" s="133" customFormat="1" x14ac:dyDescent="0.25">
      <c r="A500" s="209"/>
      <c r="B500" s="161"/>
      <c r="C500" s="105"/>
      <c r="D500" s="105"/>
      <c r="E500" s="105"/>
      <c r="F500" s="105"/>
      <c r="G500" s="105"/>
      <c r="H500" s="105"/>
      <c r="I500" s="105"/>
      <c r="J500" s="105"/>
      <c r="K500" s="136"/>
      <c r="L500" s="105"/>
      <c r="M500" s="105"/>
      <c r="N500" s="105"/>
      <c r="O500" s="105"/>
      <c r="P500" s="135"/>
      <c r="Q500" s="105"/>
      <c r="R500" s="136"/>
      <c r="S500" s="105"/>
      <c r="T500" s="135"/>
      <c r="U500" s="354"/>
      <c r="V500" s="353"/>
      <c r="W500" s="130"/>
      <c r="X500" s="130"/>
      <c r="Y500" s="403"/>
      <c r="Z500" s="404"/>
    </row>
    <row r="501" spans="1:26" s="133" customFormat="1" x14ac:dyDescent="0.25">
      <c r="A501" s="209"/>
      <c r="B501" s="161"/>
      <c r="C501" s="105"/>
      <c r="D501" s="105"/>
      <c r="E501" s="105"/>
      <c r="F501" s="105"/>
      <c r="G501" s="105"/>
      <c r="H501" s="105"/>
      <c r="I501" s="105"/>
      <c r="J501" s="105"/>
      <c r="K501" s="136"/>
      <c r="L501" s="105"/>
      <c r="M501" s="105"/>
      <c r="N501" s="105"/>
      <c r="O501" s="105"/>
      <c r="P501" s="135"/>
      <c r="Q501" s="105"/>
      <c r="R501" s="136"/>
      <c r="S501" s="105"/>
      <c r="T501" s="135"/>
      <c r="U501" s="354"/>
      <c r="V501" s="353"/>
      <c r="W501" s="130"/>
      <c r="X501" s="130"/>
      <c r="Y501" s="403"/>
      <c r="Z501" s="404"/>
    </row>
    <row r="502" spans="1:26" s="133" customFormat="1" x14ac:dyDescent="0.25">
      <c r="A502" s="209"/>
      <c r="B502" s="161"/>
      <c r="C502" s="105"/>
      <c r="D502" s="105"/>
      <c r="E502" s="105"/>
      <c r="F502" s="105"/>
      <c r="G502" s="105"/>
      <c r="H502" s="105"/>
      <c r="I502" s="105"/>
      <c r="J502" s="105"/>
      <c r="K502" s="136"/>
      <c r="L502" s="105"/>
      <c r="M502" s="105"/>
      <c r="N502" s="105"/>
      <c r="O502" s="105"/>
      <c r="P502" s="135"/>
      <c r="Q502" s="105"/>
      <c r="R502" s="136"/>
      <c r="S502" s="105"/>
      <c r="T502" s="135"/>
      <c r="U502" s="354"/>
      <c r="V502" s="353"/>
      <c r="W502" s="130"/>
      <c r="X502" s="130"/>
      <c r="Y502" s="403"/>
      <c r="Z502" s="404"/>
    </row>
    <row r="503" spans="1:26" s="133" customFormat="1" x14ac:dyDescent="0.25">
      <c r="A503" s="209"/>
      <c r="B503" s="161"/>
      <c r="C503" s="105"/>
      <c r="D503" s="105"/>
      <c r="E503" s="105"/>
      <c r="F503" s="105"/>
      <c r="G503" s="105"/>
      <c r="H503" s="105"/>
      <c r="I503" s="105"/>
      <c r="J503" s="105"/>
      <c r="K503" s="136"/>
      <c r="L503" s="105"/>
      <c r="M503" s="105"/>
      <c r="N503" s="105"/>
      <c r="O503" s="105"/>
      <c r="P503" s="135"/>
      <c r="Q503" s="105"/>
      <c r="R503" s="136"/>
      <c r="S503" s="105"/>
      <c r="T503" s="135"/>
      <c r="U503" s="354"/>
      <c r="V503" s="353"/>
      <c r="W503" s="130"/>
      <c r="X503" s="130"/>
      <c r="Y503" s="403"/>
      <c r="Z503" s="404"/>
    </row>
    <row r="504" spans="1:26" s="133" customFormat="1" x14ac:dyDescent="0.25">
      <c r="A504" s="209"/>
      <c r="B504" s="161"/>
      <c r="C504" s="105"/>
      <c r="D504" s="105"/>
      <c r="E504" s="105"/>
      <c r="F504" s="105"/>
      <c r="G504" s="105"/>
      <c r="H504" s="105"/>
      <c r="I504" s="105"/>
      <c r="J504" s="105"/>
      <c r="K504" s="136"/>
      <c r="L504" s="105"/>
      <c r="M504" s="105"/>
      <c r="N504" s="105"/>
      <c r="O504" s="105"/>
      <c r="P504" s="135"/>
      <c r="Q504" s="105"/>
      <c r="R504" s="136"/>
      <c r="S504" s="105"/>
      <c r="T504" s="135"/>
      <c r="U504" s="354"/>
      <c r="V504" s="353"/>
      <c r="W504" s="130"/>
      <c r="X504" s="130"/>
      <c r="Y504" s="403"/>
      <c r="Z504" s="404"/>
    </row>
    <row r="505" spans="1:26" s="133" customFormat="1" x14ac:dyDescent="0.25">
      <c r="A505" s="209"/>
      <c r="B505" s="161"/>
      <c r="C505" s="105"/>
      <c r="D505" s="105"/>
      <c r="E505" s="105"/>
      <c r="F505" s="105"/>
      <c r="G505" s="105"/>
      <c r="H505" s="105"/>
      <c r="I505" s="105"/>
      <c r="J505" s="105"/>
      <c r="K505" s="136"/>
      <c r="L505" s="105"/>
      <c r="M505" s="105"/>
      <c r="N505" s="105"/>
      <c r="O505" s="105"/>
      <c r="P505" s="135"/>
      <c r="Q505" s="105"/>
      <c r="R505" s="136"/>
      <c r="S505" s="105"/>
      <c r="T505" s="135"/>
      <c r="U505" s="354"/>
      <c r="V505" s="353"/>
      <c r="W505" s="130"/>
      <c r="X505" s="130"/>
      <c r="Y505" s="403"/>
      <c r="Z505" s="404"/>
    </row>
    <row r="506" spans="1:26" s="133" customFormat="1" x14ac:dyDescent="0.25">
      <c r="A506" s="209"/>
      <c r="B506" s="161"/>
      <c r="C506" s="105"/>
      <c r="D506" s="105"/>
      <c r="E506" s="105"/>
      <c r="F506" s="105"/>
      <c r="G506" s="105"/>
      <c r="H506" s="105"/>
      <c r="I506" s="105"/>
      <c r="J506" s="105"/>
      <c r="K506" s="136"/>
      <c r="L506" s="105"/>
      <c r="M506" s="105"/>
      <c r="N506" s="105"/>
      <c r="O506" s="105"/>
      <c r="P506" s="135"/>
      <c r="Q506" s="105"/>
      <c r="R506" s="136"/>
      <c r="S506" s="105"/>
      <c r="T506" s="135"/>
      <c r="U506" s="354"/>
      <c r="V506" s="353"/>
      <c r="W506" s="130"/>
      <c r="X506" s="130"/>
      <c r="Y506" s="403"/>
      <c r="Z506" s="404"/>
    </row>
    <row r="507" spans="1:26" s="133" customFormat="1" x14ac:dyDescent="0.25">
      <c r="A507" s="209"/>
      <c r="B507" s="161"/>
      <c r="C507" s="105"/>
      <c r="D507" s="105"/>
      <c r="E507" s="105"/>
      <c r="F507" s="105"/>
      <c r="G507" s="105"/>
      <c r="H507" s="105"/>
      <c r="I507" s="105"/>
      <c r="J507" s="105"/>
      <c r="K507" s="136"/>
      <c r="L507" s="105"/>
      <c r="M507" s="105"/>
      <c r="N507" s="105"/>
      <c r="O507" s="105"/>
      <c r="P507" s="135"/>
      <c r="Q507" s="105"/>
      <c r="R507" s="136"/>
      <c r="S507" s="105"/>
      <c r="T507" s="135"/>
      <c r="U507" s="354"/>
      <c r="V507" s="353"/>
      <c r="W507" s="130"/>
      <c r="X507" s="130"/>
      <c r="Y507" s="403"/>
      <c r="Z507" s="404"/>
    </row>
    <row r="508" spans="1:26" s="133" customFormat="1" x14ac:dyDescent="0.25">
      <c r="A508" s="209"/>
      <c r="B508" s="161"/>
      <c r="C508" s="105"/>
      <c r="D508" s="105"/>
      <c r="E508" s="105"/>
      <c r="F508" s="105"/>
      <c r="G508" s="105"/>
      <c r="H508" s="105"/>
      <c r="I508" s="105"/>
      <c r="J508" s="105"/>
      <c r="K508" s="136"/>
      <c r="L508" s="105"/>
      <c r="M508" s="105"/>
      <c r="N508" s="105"/>
      <c r="O508" s="105"/>
      <c r="P508" s="135"/>
      <c r="Q508" s="105"/>
      <c r="R508" s="136"/>
      <c r="S508" s="105"/>
      <c r="T508" s="135"/>
      <c r="U508" s="354"/>
      <c r="V508" s="353"/>
      <c r="W508" s="130"/>
      <c r="X508" s="130"/>
      <c r="Y508" s="403"/>
      <c r="Z508" s="404"/>
    </row>
    <row r="509" spans="1:26" s="133" customFormat="1" x14ac:dyDescent="0.25">
      <c r="A509" s="209"/>
      <c r="B509" s="161"/>
      <c r="C509" s="105"/>
      <c r="D509" s="105"/>
      <c r="E509" s="105"/>
      <c r="F509" s="105"/>
      <c r="G509" s="105"/>
      <c r="H509" s="105"/>
      <c r="I509" s="105"/>
      <c r="J509" s="105"/>
      <c r="K509" s="136"/>
      <c r="L509" s="105"/>
      <c r="M509" s="105"/>
      <c r="N509" s="105"/>
      <c r="O509" s="105"/>
      <c r="P509" s="135"/>
      <c r="Q509" s="105"/>
      <c r="R509" s="136"/>
      <c r="S509" s="105"/>
      <c r="T509" s="135"/>
      <c r="U509" s="354"/>
      <c r="V509" s="353"/>
      <c r="W509" s="130"/>
      <c r="X509" s="130"/>
      <c r="Y509" s="403"/>
      <c r="Z509" s="404"/>
    </row>
    <row r="510" spans="1:26" s="133" customFormat="1" x14ac:dyDescent="0.25">
      <c r="A510" s="209"/>
      <c r="B510" s="161"/>
      <c r="C510" s="105"/>
      <c r="D510" s="105"/>
      <c r="E510" s="105"/>
      <c r="F510" s="105"/>
      <c r="G510" s="105"/>
      <c r="H510" s="105"/>
      <c r="I510" s="105"/>
      <c r="J510" s="105"/>
      <c r="K510" s="136"/>
      <c r="L510" s="105"/>
      <c r="M510" s="105"/>
      <c r="N510" s="105"/>
      <c r="O510" s="105"/>
      <c r="P510" s="135"/>
      <c r="Q510" s="105"/>
      <c r="R510" s="136"/>
      <c r="S510" s="105"/>
      <c r="T510" s="135"/>
      <c r="U510" s="354"/>
      <c r="V510" s="353"/>
      <c r="W510" s="130"/>
      <c r="X510" s="130"/>
      <c r="Y510" s="403"/>
      <c r="Z510" s="404"/>
    </row>
    <row r="511" spans="1:26" s="133" customFormat="1" x14ac:dyDescent="0.25">
      <c r="A511" s="209"/>
      <c r="B511" s="161"/>
      <c r="C511" s="105"/>
      <c r="D511" s="105"/>
      <c r="E511" s="105"/>
      <c r="F511" s="105"/>
      <c r="G511" s="105"/>
      <c r="H511" s="105"/>
      <c r="I511" s="105"/>
      <c r="J511" s="105"/>
      <c r="K511" s="136"/>
      <c r="L511" s="105"/>
      <c r="M511" s="105"/>
      <c r="N511" s="105"/>
      <c r="O511" s="105"/>
      <c r="P511" s="135"/>
      <c r="Q511" s="105"/>
      <c r="R511" s="136"/>
      <c r="S511" s="105"/>
      <c r="T511" s="135"/>
      <c r="U511" s="354"/>
      <c r="V511" s="353"/>
      <c r="W511" s="130"/>
      <c r="X511" s="130"/>
      <c r="Y511" s="403"/>
      <c r="Z511" s="404"/>
    </row>
    <row r="512" spans="1:26" s="133" customFormat="1" x14ac:dyDescent="0.25">
      <c r="A512" s="209"/>
      <c r="B512" s="161"/>
      <c r="C512" s="105"/>
      <c r="D512" s="105"/>
      <c r="E512" s="105"/>
      <c r="F512" s="105"/>
      <c r="G512" s="105"/>
      <c r="H512" s="105"/>
      <c r="I512" s="105"/>
      <c r="J512" s="105"/>
      <c r="K512" s="136"/>
      <c r="L512" s="105"/>
      <c r="M512" s="105"/>
      <c r="N512" s="105"/>
      <c r="O512" s="105"/>
      <c r="P512" s="135"/>
      <c r="Q512" s="105"/>
      <c r="R512" s="136"/>
      <c r="S512" s="105"/>
      <c r="T512" s="135"/>
      <c r="U512" s="354"/>
      <c r="V512" s="353"/>
      <c r="W512" s="130"/>
      <c r="X512" s="130"/>
      <c r="Y512" s="403"/>
      <c r="Z512" s="404"/>
    </row>
    <row r="513" spans="1:26" s="133" customFormat="1" x14ac:dyDescent="0.25">
      <c r="A513" s="209"/>
      <c r="B513" s="161"/>
      <c r="C513" s="105"/>
      <c r="D513" s="105"/>
      <c r="E513" s="105"/>
      <c r="F513" s="105"/>
      <c r="G513" s="105"/>
      <c r="H513" s="105"/>
      <c r="I513" s="105"/>
      <c r="J513" s="105"/>
      <c r="K513" s="136"/>
      <c r="L513" s="105"/>
      <c r="M513" s="105"/>
      <c r="N513" s="105"/>
      <c r="O513" s="105"/>
      <c r="P513" s="135"/>
      <c r="Q513" s="105"/>
      <c r="R513" s="136"/>
      <c r="S513" s="105"/>
      <c r="T513" s="135"/>
      <c r="U513" s="354"/>
      <c r="V513" s="353"/>
      <c r="W513" s="130"/>
      <c r="X513" s="130"/>
      <c r="Y513" s="403"/>
      <c r="Z513" s="404"/>
    </row>
    <row r="514" spans="1:26" s="133" customFormat="1" x14ac:dyDescent="0.25">
      <c r="A514" s="209"/>
      <c r="B514" s="161"/>
      <c r="C514" s="105"/>
      <c r="D514" s="105"/>
      <c r="E514" s="105"/>
      <c r="F514" s="105"/>
      <c r="G514" s="105"/>
      <c r="H514" s="105"/>
      <c r="I514" s="105"/>
      <c r="J514" s="105"/>
      <c r="K514" s="136"/>
      <c r="L514" s="105"/>
      <c r="M514" s="105"/>
      <c r="N514" s="105"/>
      <c r="O514" s="105"/>
      <c r="P514" s="135"/>
      <c r="Q514" s="105"/>
      <c r="R514" s="136"/>
      <c r="S514" s="105"/>
      <c r="T514" s="135"/>
      <c r="U514" s="354"/>
      <c r="V514" s="353"/>
      <c r="W514" s="130"/>
      <c r="X514" s="130"/>
      <c r="Y514" s="403"/>
      <c r="Z514" s="404"/>
    </row>
    <row r="515" spans="1:26" s="133" customFormat="1" x14ac:dyDescent="0.25">
      <c r="A515" s="209"/>
      <c r="B515" s="161"/>
      <c r="C515" s="105"/>
      <c r="D515" s="105"/>
      <c r="E515" s="105"/>
      <c r="F515" s="105"/>
      <c r="G515" s="105"/>
      <c r="H515" s="105"/>
      <c r="I515" s="105"/>
      <c r="J515" s="105"/>
      <c r="K515" s="136"/>
      <c r="L515" s="105"/>
      <c r="M515" s="105"/>
      <c r="N515" s="105"/>
      <c r="O515" s="105"/>
      <c r="P515" s="135"/>
      <c r="Q515" s="105"/>
      <c r="R515" s="136"/>
      <c r="S515" s="105"/>
      <c r="T515" s="135"/>
      <c r="U515" s="354"/>
      <c r="V515" s="353"/>
      <c r="W515" s="130"/>
      <c r="X515" s="130"/>
      <c r="Y515" s="403"/>
      <c r="Z515" s="404"/>
    </row>
    <row r="516" spans="1:26" s="133" customFormat="1" x14ac:dyDescent="0.25">
      <c r="A516" s="209"/>
      <c r="B516" s="161"/>
      <c r="C516" s="105"/>
      <c r="D516" s="105"/>
      <c r="E516" s="105"/>
      <c r="F516" s="105"/>
      <c r="G516" s="105"/>
      <c r="H516" s="105"/>
      <c r="I516" s="105"/>
      <c r="J516" s="105"/>
      <c r="K516" s="136"/>
      <c r="L516" s="105"/>
      <c r="M516" s="105"/>
      <c r="N516" s="105"/>
      <c r="O516" s="105"/>
      <c r="P516" s="135"/>
      <c r="Q516" s="105"/>
      <c r="R516" s="136"/>
      <c r="S516" s="105"/>
      <c r="T516" s="135"/>
      <c r="U516" s="354"/>
      <c r="V516" s="353"/>
      <c r="W516" s="130"/>
      <c r="X516" s="130"/>
      <c r="Y516" s="403"/>
      <c r="Z516" s="404"/>
    </row>
    <row r="517" spans="1:26" s="133" customFormat="1" x14ac:dyDescent="0.25">
      <c r="A517" s="209"/>
      <c r="B517" s="161"/>
      <c r="C517" s="105"/>
      <c r="D517" s="105"/>
      <c r="E517" s="105"/>
      <c r="F517" s="105"/>
      <c r="G517" s="105"/>
      <c r="H517" s="105"/>
      <c r="I517" s="105"/>
      <c r="J517" s="105"/>
      <c r="K517" s="136"/>
      <c r="L517" s="105"/>
      <c r="M517" s="105"/>
      <c r="N517" s="105"/>
      <c r="O517" s="105"/>
      <c r="P517" s="135"/>
      <c r="Q517" s="105"/>
      <c r="R517" s="136"/>
      <c r="S517" s="105"/>
      <c r="T517" s="135"/>
      <c r="U517" s="354"/>
      <c r="V517" s="353"/>
      <c r="W517" s="130"/>
      <c r="X517" s="130"/>
      <c r="Y517" s="403"/>
      <c r="Z517" s="404"/>
    </row>
    <row r="518" spans="1:26" s="133" customFormat="1" x14ac:dyDescent="0.25">
      <c r="A518" s="209"/>
      <c r="B518" s="161"/>
      <c r="C518" s="105"/>
      <c r="D518" s="105"/>
      <c r="E518" s="105"/>
      <c r="F518" s="105"/>
      <c r="G518" s="105"/>
      <c r="H518" s="105"/>
      <c r="I518" s="105"/>
      <c r="J518" s="105"/>
      <c r="K518" s="136"/>
      <c r="L518" s="105"/>
      <c r="M518" s="105"/>
      <c r="N518" s="105"/>
      <c r="O518" s="105"/>
      <c r="P518" s="135"/>
      <c r="Q518" s="105"/>
      <c r="R518" s="136"/>
      <c r="S518" s="105"/>
      <c r="T518" s="135"/>
      <c r="U518" s="354"/>
      <c r="V518" s="353"/>
      <c r="W518" s="130"/>
      <c r="X518" s="130"/>
      <c r="Y518" s="403"/>
      <c r="Z518" s="404"/>
    </row>
    <row r="519" spans="1:26" s="133" customFormat="1" x14ac:dyDescent="0.25">
      <c r="A519" s="209"/>
      <c r="B519" s="161"/>
      <c r="C519" s="105"/>
      <c r="D519" s="105"/>
      <c r="E519" s="105"/>
      <c r="F519" s="105"/>
      <c r="G519" s="105"/>
      <c r="H519" s="105"/>
      <c r="I519" s="105"/>
      <c r="J519" s="105"/>
      <c r="K519" s="136"/>
      <c r="L519" s="105"/>
      <c r="M519" s="105"/>
      <c r="N519" s="105"/>
      <c r="O519" s="105"/>
      <c r="P519" s="135"/>
      <c r="Q519" s="105"/>
      <c r="R519" s="136"/>
      <c r="S519" s="105"/>
      <c r="T519" s="135"/>
      <c r="U519" s="354"/>
      <c r="V519" s="353"/>
      <c r="W519" s="130"/>
      <c r="X519" s="130"/>
      <c r="Y519" s="403"/>
      <c r="Z519" s="404"/>
    </row>
    <row r="520" spans="1:26" s="133" customFormat="1" x14ac:dyDescent="0.25">
      <c r="A520" s="209"/>
      <c r="B520" s="161"/>
      <c r="C520" s="105"/>
      <c r="D520" s="105"/>
      <c r="E520" s="105"/>
      <c r="F520" s="105"/>
      <c r="G520" s="105"/>
      <c r="H520" s="105"/>
      <c r="I520" s="105"/>
      <c r="J520" s="105"/>
      <c r="K520" s="136"/>
      <c r="L520" s="105"/>
      <c r="M520" s="105"/>
      <c r="N520" s="105"/>
      <c r="O520" s="105"/>
      <c r="P520" s="135"/>
      <c r="Q520" s="105"/>
      <c r="R520" s="136"/>
      <c r="S520" s="105"/>
      <c r="T520" s="135"/>
      <c r="U520" s="354"/>
      <c r="V520" s="353"/>
      <c r="W520" s="130"/>
      <c r="X520" s="130"/>
      <c r="Y520" s="403"/>
      <c r="Z520" s="404"/>
    </row>
    <row r="521" spans="1:26" s="133" customFormat="1" x14ac:dyDescent="0.25">
      <c r="A521" s="209"/>
      <c r="B521" s="161"/>
      <c r="C521" s="105"/>
      <c r="D521" s="105"/>
      <c r="E521" s="105"/>
      <c r="F521" s="105"/>
      <c r="G521" s="105"/>
      <c r="H521" s="105"/>
      <c r="I521" s="105"/>
      <c r="J521" s="105"/>
      <c r="K521" s="136"/>
      <c r="L521" s="105"/>
      <c r="M521" s="105"/>
      <c r="N521" s="105"/>
      <c r="O521" s="105"/>
      <c r="P521" s="135"/>
      <c r="Q521" s="105"/>
      <c r="R521" s="136"/>
      <c r="S521" s="105"/>
      <c r="T521" s="135"/>
      <c r="U521" s="354"/>
      <c r="V521" s="353"/>
      <c r="W521" s="130"/>
      <c r="X521" s="130"/>
      <c r="Y521" s="403"/>
      <c r="Z521" s="404"/>
    </row>
    <row r="522" spans="1:26" s="133" customFormat="1" x14ac:dyDescent="0.25">
      <c r="A522" s="209"/>
      <c r="B522" s="161"/>
      <c r="C522" s="105"/>
      <c r="D522" s="105"/>
      <c r="E522" s="105"/>
      <c r="F522" s="105"/>
      <c r="G522" s="105"/>
      <c r="H522" s="105"/>
      <c r="I522" s="105"/>
      <c r="J522" s="105"/>
      <c r="K522" s="136"/>
      <c r="L522" s="105"/>
      <c r="M522" s="105"/>
      <c r="N522" s="105"/>
      <c r="O522" s="105"/>
      <c r="P522" s="135"/>
      <c r="Q522" s="105"/>
      <c r="R522" s="136"/>
      <c r="S522" s="105"/>
      <c r="T522" s="135"/>
      <c r="U522" s="354"/>
      <c r="V522" s="353"/>
      <c r="W522" s="130"/>
      <c r="X522" s="130"/>
      <c r="Y522" s="403"/>
      <c r="Z522" s="404"/>
    </row>
    <row r="523" spans="1:26" s="133" customFormat="1" x14ac:dyDescent="0.25">
      <c r="A523" s="209"/>
      <c r="B523" s="161"/>
      <c r="C523" s="105"/>
      <c r="D523" s="105"/>
      <c r="E523" s="105"/>
      <c r="F523" s="105"/>
      <c r="G523" s="105"/>
      <c r="H523" s="105"/>
      <c r="I523" s="105"/>
      <c r="J523" s="105"/>
      <c r="K523" s="136"/>
      <c r="L523" s="105"/>
      <c r="M523" s="105"/>
      <c r="N523" s="105"/>
      <c r="O523" s="105"/>
      <c r="P523" s="135"/>
      <c r="Q523" s="105"/>
      <c r="R523" s="136"/>
      <c r="S523" s="105"/>
      <c r="T523" s="135"/>
      <c r="U523" s="354"/>
      <c r="V523" s="353"/>
      <c r="W523" s="130"/>
      <c r="X523" s="130"/>
      <c r="Y523" s="403"/>
      <c r="Z523" s="404"/>
    </row>
    <row r="524" spans="1:26" s="133" customFormat="1" x14ac:dyDescent="0.25">
      <c r="A524" s="209"/>
      <c r="B524" s="161"/>
      <c r="C524" s="105"/>
      <c r="D524" s="105"/>
      <c r="E524" s="105"/>
      <c r="F524" s="105"/>
      <c r="G524" s="105"/>
      <c r="H524" s="105"/>
      <c r="I524" s="105"/>
      <c r="J524" s="105"/>
      <c r="K524" s="136"/>
      <c r="L524" s="105"/>
      <c r="M524" s="105"/>
      <c r="N524" s="105"/>
      <c r="O524" s="105"/>
      <c r="P524" s="135"/>
      <c r="Q524" s="105"/>
      <c r="R524" s="136"/>
      <c r="S524" s="105"/>
      <c r="T524" s="135"/>
      <c r="U524" s="354"/>
      <c r="V524" s="353"/>
      <c r="W524" s="130"/>
      <c r="X524" s="130"/>
      <c r="Y524" s="403"/>
      <c r="Z524" s="404"/>
    </row>
    <row r="525" spans="1:26" s="133" customFormat="1" x14ac:dyDescent="0.25">
      <c r="A525" s="209"/>
      <c r="B525" s="161"/>
      <c r="C525" s="105"/>
      <c r="D525" s="105"/>
      <c r="E525" s="105"/>
      <c r="F525" s="105"/>
      <c r="G525" s="105"/>
      <c r="H525" s="105"/>
      <c r="I525" s="105"/>
      <c r="J525" s="105"/>
      <c r="K525" s="136"/>
      <c r="L525" s="105"/>
      <c r="M525" s="105"/>
      <c r="N525" s="105"/>
      <c r="O525" s="105"/>
      <c r="P525" s="135"/>
      <c r="Q525" s="105"/>
      <c r="R525" s="136"/>
      <c r="S525" s="105"/>
      <c r="T525" s="135"/>
      <c r="U525" s="354"/>
      <c r="V525" s="353"/>
      <c r="W525" s="130"/>
      <c r="X525" s="130"/>
      <c r="Y525" s="403"/>
      <c r="Z525" s="404"/>
    </row>
    <row r="526" spans="1:26" s="133" customFormat="1" x14ac:dyDescent="0.25">
      <c r="A526" s="209"/>
      <c r="B526" s="161"/>
      <c r="C526" s="105"/>
      <c r="D526" s="105"/>
      <c r="E526" s="105"/>
      <c r="F526" s="105"/>
      <c r="G526" s="105"/>
      <c r="H526" s="105"/>
      <c r="I526" s="105"/>
      <c r="J526" s="105"/>
      <c r="K526" s="136"/>
      <c r="L526" s="105"/>
      <c r="M526" s="105"/>
      <c r="N526" s="105"/>
      <c r="O526" s="105"/>
      <c r="P526" s="135"/>
      <c r="Q526" s="105"/>
      <c r="R526" s="136"/>
      <c r="S526" s="105"/>
      <c r="T526" s="135"/>
      <c r="U526" s="354"/>
      <c r="V526" s="353"/>
      <c r="W526" s="130"/>
      <c r="X526" s="130"/>
      <c r="Y526" s="403"/>
      <c r="Z526" s="404"/>
    </row>
    <row r="527" spans="1:26" s="133" customFormat="1" x14ac:dyDescent="0.25">
      <c r="A527" s="209"/>
      <c r="B527" s="161"/>
      <c r="C527" s="105"/>
      <c r="D527" s="105"/>
      <c r="E527" s="105"/>
      <c r="F527" s="105"/>
      <c r="G527" s="105"/>
      <c r="H527" s="105"/>
      <c r="I527" s="105"/>
      <c r="J527" s="105"/>
      <c r="K527" s="136"/>
      <c r="L527" s="105"/>
      <c r="M527" s="105"/>
      <c r="N527" s="105"/>
      <c r="O527" s="105"/>
      <c r="P527" s="135"/>
      <c r="Q527" s="105"/>
      <c r="R527" s="136"/>
      <c r="S527" s="105"/>
      <c r="T527" s="135"/>
      <c r="U527" s="354"/>
      <c r="V527" s="353"/>
      <c r="W527" s="130"/>
      <c r="X527" s="130"/>
      <c r="Y527" s="403"/>
      <c r="Z527" s="404"/>
    </row>
    <row r="528" spans="1:26" s="133" customFormat="1" x14ac:dyDescent="0.25">
      <c r="A528" s="209"/>
      <c r="B528" s="161"/>
      <c r="C528" s="105"/>
      <c r="D528" s="105"/>
      <c r="E528" s="105"/>
      <c r="F528" s="105"/>
      <c r="G528" s="105"/>
      <c r="H528" s="105"/>
      <c r="I528" s="105"/>
      <c r="J528" s="105"/>
      <c r="K528" s="136"/>
      <c r="L528" s="105"/>
      <c r="M528" s="105"/>
      <c r="N528" s="105"/>
      <c r="O528" s="105"/>
      <c r="P528" s="135"/>
      <c r="Q528" s="105"/>
      <c r="R528" s="136"/>
      <c r="S528" s="105"/>
      <c r="T528" s="135"/>
      <c r="U528" s="354"/>
      <c r="V528" s="353"/>
      <c r="W528" s="130"/>
      <c r="X528" s="130"/>
      <c r="Y528" s="403"/>
      <c r="Z528" s="404"/>
    </row>
    <row r="529" spans="1:26" s="133" customFormat="1" x14ac:dyDescent="0.25">
      <c r="A529" s="209"/>
      <c r="B529" s="161"/>
      <c r="C529" s="105"/>
      <c r="D529" s="105"/>
      <c r="E529" s="105"/>
      <c r="F529" s="105"/>
      <c r="G529" s="105"/>
      <c r="H529" s="105"/>
      <c r="I529" s="105"/>
      <c r="J529" s="105"/>
      <c r="K529" s="136"/>
      <c r="L529" s="105"/>
      <c r="M529" s="105"/>
      <c r="N529" s="105"/>
      <c r="O529" s="105"/>
      <c r="P529" s="135"/>
      <c r="Q529" s="105"/>
      <c r="R529" s="136"/>
      <c r="S529" s="105"/>
      <c r="T529" s="135"/>
      <c r="U529" s="354"/>
      <c r="V529" s="353"/>
      <c r="W529" s="130"/>
      <c r="X529" s="130"/>
      <c r="Y529" s="403"/>
      <c r="Z529" s="404"/>
    </row>
    <row r="530" spans="1:26" s="133" customFormat="1" x14ac:dyDescent="0.25">
      <c r="A530" s="209"/>
      <c r="B530" s="161"/>
      <c r="C530" s="105"/>
      <c r="D530" s="105"/>
      <c r="E530" s="105"/>
      <c r="F530" s="105"/>
      <c r="G530" s="105"/>
      <c r="H530" s="105"/>
      <c r="I530" s="105"/>
      <c r="J530" s="105"/>
      <c r="K530" s="136"/>
      <c r="L530" s="105"/>
      <c r="M530" s="105"/>
      <c r="N530" s="105"/>
      <c r="O530" s="105"/>
      <c r="P530" s="135"/>
      <c r="Q530" s="105"/>
      <c r="R530" s="136"/>
      <c r="S530" s="105"/>
      <c r="T530" s="135"/>
      <c r="U530" s="354"/>
      <c r="V530" s="353"/>
      <c r="W530" s="130"/>
      <c r="X530" s="130"/>
      <c r="Y530" s="403"/>
      <c r="Z530" s="404"/>
    </row>
    <row r="531" spans="1:26" s="133" customFormat="1" x14ac:dyDescent="0.25">
      <c r="A531" s="209"/>
      <c r="B531" s="161"/>
      <c r="C531" s="105"/>
      <c r="D531" s="105"/>
      <c r="E531" s="105"/>
      <c r="F531" s="105"/>
      <c r="G531" s="105"/>
      <c r="H531" s="105"/>
      <c r="I531" s="105"/>
      <c r="J531" s="105"/>
      <c r="K531" s="136"/>
      <c r="L531" s="105"/>
      <c r="M531" s="105"/>
      <c r="N531" s="105"/>
      <c r="O531" s="105"/>
      <c r="P531" s="135"/>
      <c r="Q531" s="105"/>
      <c r="R531" s="136"/>
      <c r="S531" s="105"/>
      <c r="T531" s="135"/>
      <c r="U531" s="354"/>
      <c r="V531" s="353"/>
      <c r="W531" s="130"/>
      <c r="X531" s="130"/>
      <c r="Y531" s="403"/>
      <c r="Z531" s="404"/>
    </row>
    <row r="532" spans="1:26" s="133" customFormat="1" x14ac:dyDescent="0.25">
      <c r="A532" s="209"/>
      <c r="B532" s="161"/>
      <c r="C532" s="105"/>
      <c r="D532" s="105"/>
      <c r="E532" s="105"/>
      <c r="F532" s="105"/>
      <c r="G532" s="105"/>
      <c r="H532" s="105"/>
      <c r="I532" s="105"/>
      <c r="J532" s="105"/>
      <c r="K532" s="136"/>
      <c r="L532" s="105"/>
      <c r="M532" s="105"/>
      <c r="N532" s="105"/>
      <c r="O532" s="105"/>
      <c r="P532" s="135"/>
      <c r="Q532" s="105"/>
      <c r="R532" s="136"/>
      <c r="S532" s="105"/>
      <c r="T532" s="135"/>
      <c r="U532" s="354"/>
      <c r="V532" s="353"/>
      <c r="W532" s="130"/>
      <c r="X532" s="130"/>
      <c r="Y532" s="403"/>
      <c r="Z532" s="404"/>
    </row>
    <row r="533" spans="1:26" s="133" customFormat="1" x14ac:dyDescent="0.25">
      <c r="A533" s="209"/>
      <c r="B533" s="161"/>
      <c r="C533" s="105"/>
      <c r="D533" s="105"/>
      <c r="E533" s="105"/>
      <c r="F533" s="105"/>
      <c r="G533" s="105"/>
      <c r="H533" s="105"/>
      <c r="I533" s="105"/>
      <c r="J533" s="105"/>
      <c r="K533" s="136"/>
      <c r="L533" s="105"/>
      <c r="M533" s="105"/>
      <c r="N533" s="105"/>
      <c r="O533" s="105"/>
      <c r="P533" s="135"/>
      <c r="Q533" s="105"/>
      <c r="R533" s="136"/>
      <c r="S533" s="105"/>
      <c r="T533" s="135"/>
      <c r="U533" s="354"/>
      <c r="V533" s="353"/>
      <c r="W533" s="130"/>
      <c r="X533" s="130"/>
      <c r="Y533" s="403"/>
      <c r="Z533" s="404"/>
    </row>
    <row r="534" spans="1:26" s="133" customFormat="1" x14ac:dyDescent="0.25">
      <c r="A534" s="209"/>
      <c r="B534" s="161"/>
      <c r="C534" s="105"/>
      <c r="D534" s="105"/>
      <c r="E534" s="105"/>
      <c r="F534" s="105"/>
      <c r="G534" s="105"/>
      <c r="H534" s="105"/>
      <c r="I534" s="105"/>
      <c r="J534" s="105"/>
      <c r="K534" s="136"/>
      <c r="L534" s="105"/>
      <c r="M534" s="105"/>
      <c r="N534" s="105"/>
      <c r="O534" s="105"/>
      <c r="P534" s="135"/>
      <c r="Q534" s="105"/>
      <c r="R534" s="136"/>
      <c r="S534" s="105"/>
      <c r="T534" s="135"/>
      <c r="U534" s="354"/>
      <c r="V534" s="353"/>
      <c r="W534" s="130"/>
      <c r="X534" s="130"/>
      <c r="Y534" s="403"/>
      <c r="Z534" s="404"/>
    </row>
    <row r="535" spans="1:26" s="133" customFormat="1" x14ac:dyDescent="0.25">
      <c r="A535" s="209"/>
      <c r="B535" s="161"/>
      <c r="C535" s="105"/>
      <c r="D535" s="105"/>
      <c r="E535" s="105"/>
      <c r="F535" s="105"/>
      <c r="G535" s="105"/>
      <c r="H535" s="105"/>
      <c r="I535" s="105"/>
      <c r="J535" s="105"/>
      <c r="K535" s="136"/>
      <c r="L535" s="105"/>
      <c r="M535" s="105"/>
      <c r="N535" s="105"/>
      <c r="O535" s="105"/>
      <c r="P535" s="135"/>
      <c r="Q535" s="105"/>
      <c r="R535" s="136"/>
      <c r="S535" s="105"/>
      <c r="T535" s="135"/>
      <c r="U535" s="354"/>
      <c r="V535" s="353"/>
      <c r="W535" s="130"/>
      <c r="X535" s="130"/>
      <c r="Y535" s="403"/>
      <c r="Z535" s="404"/>
    </row>
    <row r="536" spans="1:26" s="133" customFormat="1" x14ac:dyDescent="0.25">
      <c r="A536" s="209"/>
      <c r="B536" s="161"/>
      <c r="C536" s="105"/>
      <c r="D536" s="105"/>
      <c r="E536" s="105"/>
      <c r="F536" s="105"/>
      <c r="G536" s="105"/>
      <c r="H536" s="105"/>
      <c r="I536" s="105"/>
      <c r="J536" s="105"/>
      <c r="K536" s="136"/>
      <c r="L536" s="105"/>
      <c r="M536" s="105"/>
      <c r="N536" s="105"/>
      <c r="O536" s="105"/>
      <c r="P536" s="135"/>
      <c r="Q536" s="105"/>
      <c r="R536" s="136"/>
      <c r="S536" s="105"/>
      <c r="T536" s="135"/>
      <c r="U536" s="354"/>
      <c r="V536" s="353"/>
      <c r="W536" s="130"/>
      <c r="X536" s="130"/>
      <c r="Y536" s="403"/>
      <c r="Z536" s="404"/>
    </row>
    <row r="537" spans="1:26" s="133" customFormat="1" x14ac:dyDescent="0.25">
      <c r="A537" s="209"/>
      <c r="B537" s="161"/>
      <c r="C537" s="105"/>
      <c r="D537" s="105"/>
      <c r="E537" s="105"/>
      <c r="F537" s="105"/>
      <c r="G537" s="105"/>
      <c r="H537" s="105"/>
      <c r="I537" s="105"/>
      <c r="J537" s="105"/>
      <c r="K537" s="136"/>
      <c r="L537" s="105"/>
      <c r="M537" s="105"/>
      <c r="N537" s="105"/>
      <c r="O537" s="105"/>
      <c r="P537" s="135"/>
      <c r="Q537" s="105"/>
      <c r="R537" s="136"/>
      <c r="S537" s="105"/>
      <c r="T537" s="135"/>
      <c r="U537" s="354"/>
      <c r="V537" s="353"/>
      <c r="W537" s="130"/>
      <c r="X537" s="130"/>
      <c r="Y537" s="403"/>
      <c r="Z537" s="404"/>
    </row>
    <row r="538" spans="1:26" s="133" customFormat="1" x14ac:dyDescent="0.25">
      <c r="A538" s="209"/>
      <c r="B538" s="161"/>
      <c r="C538" s="105"/>
      <c r="D538" s="105"/>
      <c r="E538" s="105"/>
      <c r="F538" s="105"/>
      <c r="G538" s="105"/>
      <c r="H538" s="105"/>
      <c r="I538" s="105"/>
      <c r="J538" s="105"/>
      <c r="K538" s="136"/>
      <c r="L538" s="105"/>
      <c r="M538" s="105"/>
      <c r="N538" s="105"/>
      <c r="O538" s="105"/>
      <c r="P538" s="135"/>
      <c r="Q538" s="105"/>
      <c r="R538" s="136"/>
      <c r="S538" s="105"/>
      <c r="T538" s="135"/>
      <c r="U538" s="354"/>
      <c r="V538" s="353"/>
      <c r="W538" s="130"/>
      <c r="X538" s="130"/>
      <c r="Y538" s="403"/>
      <c r="Z538" s="404"/>
    </row>
    <row r="539" spans="1:26" s="133" customFormat="1" x14ac:dyDescent="0.25">
      <c r="A539" s="209"/>
      <c r="B539" s="161"/>
      <c r="C539" s="105"/>
      <c r="D539" s="105"/>
      <c r="E539" s="105"/>
      <c r="F539" s="105"/>
      <c r="G539" s="105"/>
      <c r="H539" s="105"/>
      <c r="I539" s="105"/>
      <c r="J539" s="105"/>
      <c r="K539" s="136"/>
      <c r="L539" s="105"/>
      <c r="M539" s="105"/>
      <c r="N539" s="105"/>
      <c r="O539" s="105"/>
      <c r="P539" s="135"/>
      <c r="Q539" s="105"/>
      <c r="R539" s="136"/>
      <c r="S539" s="105"/>
      <c r="T539" s="135"/>
      <c r="U539" s="354"/>
      <c r="V539" s="353"/>
      <c r="W539" s="130"/>
      <c r="X539" s="130"/>
      <c r="Y539" s="403"/>
      <c r="Z539" s="404"/>
    </row>
    <row r="540" spans="1:26" s="133" customFormat="1" x14ac:dyDescent="0.25">
      <c r="A540" s="209"/>
      <c r="B540" s="161"/>
      <c r="C540" s="105"/>
      <c r="D540" s="105"/>
      <c r="E540" s="105"/>
      <c r="F540" s="105"/>
      <c r="G540" s="105"/>
      <c r="H540" s="105"/>
      <c r="I540" s="105"/>
      <c r="J540" s="105"/>
      <c r="K540" s="136"/>
      <c r="L540" s="105"/>
      <c r="M540" s="105"/>
      <c r="N540" s="105"/>
      <c r="O540" s="105"/>
      <c r="P540" s="135"/>
      <c r="Q540" s="105"/>
      <c r="R540" s="136"/>
      <c r="S540" s="105"/>
      <c r="T540" s="135"/>
      <c r="U540" s="354"/>
      <c r="V540" s="353"/>
      <c r="W540" s="130"/>
      <c r="X540" s="130"/>
      <c r="Y540" s="403"/>
      <c r="Z540" s="404"/>
    </row>
    <row r="541" spans="1:26" s="133" customFormat="1" x14ac:dyDescent="0.25">
      <c r="A541" s="209"/>
      <c r="B541" s="161"/>
      <c r="C541" s="105"/>
      <c r="D541" s="105"/>
      <c r="E541" s="105"/>
      <c r="F541" s="105"/>
      <c r="G541" s="105"/>
      <c r="H541" s="105"/>
      <c r="I541" s="105"/>
      <c r="J541" s="105"/>
      <c r="K541" s="136"/>
      <c r="L541" s="105"/>
      <c r="M541" s="105"/>
      <c r="N541" s="105"/>
      <c r="O541" s="105"/>
      <c r="P541" s="135"/>
      <c r="Q541" s="105"/>
      <c r="R541" s="136"/>
      <c r="S541" s="105"/>
      <c r="T541" s="135"/>
      <c r="U541" s="354"/>
      <c r="V541" s="353"/>
      <c r="W541" s="130"/>
      <c r="X541" s="130"/>
      <c r="Y541" s="403"/>
      <c r="Z541" s="404"/>
    </row>
    <row r="542" spans="1:26" s="133" customFormat="1" x14ac:dyDescent="0.25">
      <c r="A542" s="209"/>
      <c r="B542" s="161"/>
      <c r="C542" s="105"/>
      <c r="D542" s="105"/>
      <c r="E542" s="105"/>
      <c r="F542" s="105"/>
      <c r="G542" s="105"/>
      <c r="H542" s="105"/>
      <c r="I542" s="105"/>
      <c r="J542" s="105"/>
      <c r="K542" s="136"/>
      <c r="L542" s="105"/>
      <c r="M542" s="105"/>
      <c r="N542" s="105"/>
      <c r="O542" s="105"/>
      <c r="P542" s="135"/>
      <c r="Q542" s="105"/>
      <c r="R542" s="136"/>
      <c r="S542" s="105"/>
      <c r="T542" s="135"/>
      <c r="U542" s="354"/>
      <c r="V542" s="353"/>
      <c r="W542" s="130"/>
      <c r="X542" s="130"/>
      <c r="Y542" s="403"/>
      <c r="Z542" s="404"/>
    </row>
    <row r="543" spans="1:26" s="133" customFormat="1" x14ac:dyDescent="0.25">
      <c r="A543" s="209"/>
      <c r="B543" s="161"/>
      <c r="C543" s="105"/>
      <c r="D543" s="105"/>
      <c r="E543" s="105"/>
      <c r="F543" s="105"/>
      <c r="G543" s="105"/>
      <c r="H543" s="105"/>
      <c r="I543" s="105"/>
      <c r="J543" s="105"/>
      <c r="K543" s="136"/>
      <c r="L543" s="105"/>
      <c r="M543" s="105"/>
      <c r="N543" s="105"/>
      <c r="O543" s="105"/>
      <c r="P543" s="135"/>
      <c r="Q543" s="105"/>
      <c r="R543" s="136"/>
      <c r="S543" s="105"/>
      <c r="T543" s="135"/>
      <c r="U543" s="354"/>
      <c r="V543" s="353"/>
      <c r="W543" s="130"/>
      <c r="X543" s="130"/>
      <c r="Y543" s="403"/>
      <c r="Z543" s="404"/>
    </row>
    <row r="544" spans="1:26" s="133" customFormat="1" x14ac:dyDescent="0.25">
      <c r="A544" s="209"/>
      <c r="B544" s="161"/>
      <c r="C544" s="105"/>
      <c r="D544" s="105"/>
      <c r="E544" s="105"/>
      <c r="F544" s="105"/>
      <c r="G544" s="105"/>
      <c r="H544" s="105"/>
      <c r="I544" s="105"/>
      <c r="J544" s="105"/>
      <c r="K544" s="136"/>
      <c r="L544" s="105"/>
      <c r="M544" s="105"/>
      <c r="N544" s="105"/>
      <c r="O544" s="105"/>
      <c r="P544" s="135"/>
      <c r="Q544" s="105"/>
      <c r="R544" s="136"/>
      <c r="S544" s="105"/>
      <c r="T544" s="135"/>
      <c r="U544" s="354"/>
      <c r="V544" s="353"/>
      <c r="W544" s="130"/>
      <c r="X544" s="130"/>
      <c r="Y544" s="403"/>
      <c r="Z544" s="404"/>
    </row>
    <row r="545" spans="1:26" s="133" customFormat="1" x14ac:dyDescent="0.25">
      <c r="A545" s="209"/>
      <c r="B545" s="161"/>
      <c r="C545" s="105"/>
      <c r="D545" s="105"/>
      <c r="E545" s="105"/>
      <c r="F545" s="105"/>
      <c r="G545" s="105"/>
      <c r="H545" s="105"/>
      <c r="I545" s="105"/>
      <c r="J545" s="105"/>
      <c r="K545" s="136"/>
      <c r="L545" s="105"/>
      <c r="M545" s="105"/>
      <c r="N545" s="105"/>
      <c r="O545" s="105"/>
      <c r="P545" s="135"/>
      <c r="Q545" s="105"/>
      <c r="R545" s="136"/>
      <c r="S545" s="105"/>
      <c r="T545" s="135"/>
      <c r="U545" s="354"/>
      <c r="V545" s="353"/>
      <c r="W545" s="130"/>
      <c r="X545" s="130"/>
      <c r="Y545" s="403"/>
      <c r="Z545" s="404"/>
    </row>
    <row r="546" spans="1:26" s="133" customFormat="1" x14ac:dyDescent="0.25">
      <c r="A546" s="209"/>
      <c r="B546" s="161"/>
      <c r="C546" s="105"/>
      <c r="D546" s="105"/>
      <c r="E546" s="105"/>
      <c r="F546" s="105"/>
      <c r="G546" s="105"/>
      <c r="H546" s="105"/>
      <c r="I546" s="105"/>
      <c r="J546" s="105"/>
      <c r="K546" s="136"/>
      <c r="L546" s="105"/>
      <c r="M546" s="105"/>
      <c r="N546" s="105"/>
      <c r="O546" s="105"/>
      <c r="P546" s="135"/>
      <c r="Q546" s="105"/>
      <c r="R546" s="136"/>
      <c r="S546" s="105"/>
      <c r="T546" s="135"/>
      <c r="U546" s="354"/>
      <c r="V546" s="353"/>
      <c r="W546" s="130"/>
      <c r="X546" s="130"/>
      <c r="Y546" s="403"/>
      <c r="Z546" s="404"/>
    </row>
    <row r="547" spans="1:26" s="133" customFormat="1" x14ac:dyDescent="0.25">
      <c r="A547" s="209"/>
      <c r="B547" s="161"/>
      <c r="C547" s="105"/>
      <c r="D547" s="105"/>
      <c r="E547" s="105"/>
      <c r="F547" s="105"/>
      <c r="G547" s="105"/>
      <c r="H547" s="105"/>
      <c r="I547" s="105"/>
      <c r="J547" s="105"/>
      <c r="K547" s="136"/>
      <c r="L547" s="105"/>
      <c r="M547" s="105"/>
      <c r="N547" s="105"/>
      <c r="O547" s="105"/>
      <c r="P547" s="135"/>
      <c r="Q547" s="105"/>
      <c r="R547" s="136"/>
      <c r="S547" s="105"/>
      <c r="T547" s="135"/>
      <c r="U547" s="354"/>
      <c r="V547" s="353"/>
      <c r="W547" s="130"/>
      <c r="X547" s="130"/>
      <c r="Y547" s="403"/>
      <c r="Z547" s="404"/>
    </row>
    <row r="548" spans="1:26" s="133" customFormat="1" x14ac:dyDescent="0.25">
      <c r="A548" s="209"/>
      <c r="B548" s="161"/>
      <c r="C548" s="105"/>
      <c r="D548" s="105"/>
      <c r="E548" s="105"/>
      <c r="F548" s="105"/>
      <c r="G548" s="105"/>
      <c r="H548" s="105"/>
      <c r="I548" s="105"/>
      <c r="J548" s="105"/>
      <c r="K548" s="136"/>
      <c r="L548" s="105"/>
      <c r="M548" s="105"/>
      <c r="N548" s="105"/>
      <c r="O548" s="105"/>
      <c r="P548" s="135"/>
      <c r="Q548" s="105"/>
      <c r="R548" s="136"/>
      <c r="S548" s="105"/>
      <c r="T548" s="135"/>
      <c r="U548" s="354"/>
      <c r="V548" s="353"/>
      <c r="W548" s="130"/>
      <c r="X548" s="130"/>
      <c r="Y548" s="403"/>
      <c r="Z548" s="404"/>
    </row>
    <row r="549" spans="1:26" s="133" customFormat="1" x14ac:dyDescent="0.25">
      <c r="A549" s="209"/>
      <c r="B549" s="161"/>
      <c r="C549" s="105"/>
      <c r="D549" s="105"/>
      <c r="E549" s="105"/>
      <c r="F549" s="105"/>
      <c r="G549" s="105"/>
      <c r="H549" s="105"/>
      <c r="I549" s="105"/>
      <c r="J549" s="105"/>
      <c r="K549" s="136"/>
      <c r="L549" s="105"/>
      <c r="M549" s="105"/>
      <c r="N549" s="105"/>
      <c r="O549" s="105"/>
      <c r="P549" s="135"/>
      <c r="Q549" s="105"/>
      <c r="R549" s="136"/>
      <c r="S549" s="105"/>
      <c r="T549" s="135"/>
      <c r="U549" s="354"/>
      <c r="V549" s="353"/>
      <c r="W549" s="130"/>
      <c r="X549" s="130"/>
      <c r="Y549" s="403"/>
      <c r="Z549" s="404"/>
    </row>
    <row r="550" spans="1:26" s="133" customFormat="1" x14ac:dyDescent="0.25">
      <c r="A550" s="209"/>
      <c r="B550" s="161"/>
      <c r="C550" s="105"/>
      <c r="D550" s="105"/>
      <c r="E550" s="105"/>
      <c r="F550" s="105"/>
      <c r="G550" s="105"/>
      <c r="H550" s="105"/>
      <c r="I550" s="105"/>
      <c r="J550" s="105"/>
      <c r="K550" s="136"/>
      <c r="L550" s="105"/>
      <c r="M550" s="105"/>
      <c r="N550" s="105"/>
      <c r="O550" s="105"/>
      <c r="P550" s="135"/>
      <c r="Q550" s="105"/>
      <c r="R550" s="136"/>
      <c r="S550" s="105"/>
      <c r="T550" s="135"/>
      <c r="U550" s="354"/>
      <c r="V550" s="353"/>
      <c r="W550" s="130"/>
      <c r="X550" s="130"/>
      <c r="Y550" s="403"/>
      <c r="Z550" s="404"/>
    </row>
    <row r="551" spans="1:26" s="133" customFormat="1" x14ac:dyDescent="0.25">
      <c r="A551" s="209"/>
      <c r="B551" s="161"/>
      <c r="C551" s="105"/>
      <c r="D551" s="105"/>
      <c r="E551" s="105"/>
      <c r="F551" s="105"/>
      <c r="G551" s="105"/>
      <c r="H551" s="105"/>
      <c r="I551" s="105"/>
      <c r="J551" s="105"/>
      <c r="K551" s="136"/>
      <c r="L551" s="105"/>
      <c r="M551" s="105"/>
      <c r="N551" s="105"/>
      <c r="O551" s="105"/>
      <c r="P551" s="135"/>
      <c r="Q551" s="105"/>
      <c r="R551" s="136"/>
      <c r="S551" s="105"/>
      <c r="T551" s="135"/>
      <c r="U551" s="354"/>
      <c r="V551" s="353"/>
      <c r="W551" s="130"/>
      <c r="X551" s="130"/>
      <c r="Y551" s="403"/>
      <c r="Z551" s="404"/>
    </row>
    <row r="552" spans="1:26" s="133" customFormat="1" x14ac:dyDescent="0.25">
      <c r="A552" s="209"/>
      <c r="B552" s="161"/>
      <c r="C552" s="105"/>
      <c r="D552" s="105"/>
      <c r="E552" s="105"/>
      <c r="F552" s="105"/>
      <c r="G552" s="105"/>
      <c r="H552" s="105"/>
      <c r="I552" s="105"/>
      <c r="J552" s="105"/>
      <c r="K552" s="136"/>
      <c r="L552" s="105"/>
      <c r="M552" s="105"/>
      <c r="N552" s="105"/>
      <c r="O552" s="105"/>
      <c r="P552" s="135"/>
      <c r="Q552" s="105"/>
      <c r="R552" s="136"/>
      <c r="S552" s="105"/>
      <c r="T552" s="135"/>
      <c r="U552" s="354"/>
      <c r="V552" s="353"/>
      <c r="W552" s="130"/>
      <c r="X552" s="130"/>
      <c r="Y552" s="403"/>
      <c r="Z552" s="404"/>
    </row>
    <row r="553" spans="1:26" s="133" customFormat="1" x14ac:dyDescent="0.25">
      <c r="A553" s="209"/>
      <c r="B553" s="161"/>
      <c r="C553" s="105"/>
      <c r="D553" s="105"/>
      <c r="E553" s="105"/>
      <c r="F553" s="105"/>
      <c r="G553" s="105"/>
      <c r="H553" s="105"/>
      <c r="I553" s="105"/>
      <c r="J553" s="105"/>
      <c r="K553" s="136"/>
      <c r="L553" s="105"/>
      <c r="M553" s="105"/>
      <c r="N553" s="105"/>
      <c r="O553" s="105"/>
      <c r="P553" s="135"/>
      <c r="Q553" s="105"/>
      <c r="R553" s="136"/>
      <c r="S553" s="105"/>
      <c r="T553" s="135"/>
      <c r="U553" s="354"/>
      <c r="V553" s="353"/>
      <c r="W553" s="130"/>
      <c r="X553" s="130"/>
      <c r="Y553" s="403"/>
      <c r="Z553" s="404"/>
    </row>
    <row r="554" spans="1:26" s="133" customFormat="1" x14ac:dyDescent="0.25">
      <c r="A554" s="209"/>
      <c r="B554" s="161"/>
      <c r="C554" s="105"/>
      <c r="D554" s="105"/>
      <c r="E554" s="105"/>
      <c r="F554" s="105"/>
      <c r="G554" s="105"/>
      <c r="H554" s="105"/>
      <c r="I554" s="105"/>
      <c r="J554" s="105"/>
      <c r="K554" s="136"/>
      <c r="L554" s="105"/>
      <c r="M554" s="105"/>
      <c r="N554" s="105"/>
      <c r="O554" s="105"/>
      <c r="P554" s="135"/>
      <c r="Q554" s="105"/>
      <c r="R554" s="136"/>
      <c r="S554" s="105"/>
      <c r="T554" s="135"/>
      <c r="U554" s="354"/>
      <c r="V554" s="353"/>
      <c r="W554" s="130"/>
      <c r="X554" s="130"/>
      <c r="Y554" s="403"/>
      <c r="Z554" s="404"/>
    </row>
    <row r="555" spans="1:26" s="133" customFormat="1" x14ac:dyDescent="0.25">
      <c r="A555" s="209"/>
      <c r="B555" s="161"/>
      <c r="C555" s="105"/>
      <c r="D555" s="105"/>
      <c r="E555" s="105"/>
      <c r="F555" s="105"/>
      <c r="G555" s="105"/>
      <c r="H555" s="105"/>
      <c r="I555" s="105"/>
      <c r="J555" s="105"/>
      <c r="K555" s="136"/>
      <c r="L555" s="105"/>
      <c r="M555" s="105"/>
      <c r="N555" s="105"/>
      <c r="O555" s="105"/>
      <c r="P555" s="135"/>
      <c r="Q555" s="105"/>
      <c r="R555" s="136"/>
      <c r="S555" s="105"/>
      <c r="T555" s="135"/>
      <c r="U555" s="354"/>
      <c r="V555" s="353"/>
      <c r="W555" s="130"/>
      <c r="X555" s="130"/>
      <c r="Y555" s="403"/>
      <c r="Z555" s="404"/>
    </row>
    <row r="556" spans="1:26" s="133" customFormat="1" x14ac:dyDescent="0.25">
      <c r="A556" s="209"/>
      <c r="B556" s="161"/>
      <c r="C556" s="105"/>
      <c r="D556" s="105"/>
      <c r="E556" s="105"/>
      <c r="F556" s="105"/>
      <c r="G556" s="105"/>
      <c r="H556" s="105"/>
      <c r="I556" s="105"/>
      <c r="J556" s="105"/>
      <c r="K556" s="136"/>
      <c r="L556" s="105"/>
      <c r="M556" s="105"/>
      <c r="N556" s="105"/>
      <c r="O556" s="105"/>
      <c r="P556" s="135"/>
      <c r="Q556" s="105"/>
      <c r="R556" s="136"/>
      <c r="S556" s="105"/>
      <c r="T556" s="135"/>
      <c r="U556" s="354"/>
      <c r="V556" s="353"/>
      <c r="W556" s="130"/>
      <c r="X556" s="130"/>
      <c r="Y556" s="403"/>
      <c r="Z556" s="404"/>
    </row>
    <row r="557" spans="1:26" s="133" customFormat="1" x14ac:dyDescent="0.25">
      <c r="A557" s="209"/>
      <c r="B557" s="161"/>
      <c r="C557" s="105"/>
      <c r="D557" s="105"/>
      <c r="E557" s="105"/>
      <c r="F557" s="105"/>
      <c r="G557" s="105"/>
      <c r="H557" s="105"/>
      <c r="I557" s="105"/>
      <c r="J557" s="105"/>
      <c r="K557" s="136"/>
      <c r="L557" s="105"/>
      <c r="M557" s="105"/>
      <c r="N557" s="105"/>
      <c r="O557" s="105"/>
      <c r="P557" s="135"/>
      <c r="Q557" s="105"/>
      <c r="R557" s="136"/>
      <c r="S557" s="105"/>
      <c r="T557" s="135"/>
      <c r="U557" s="354"/>
      <c r="V557" s="353"/>
      <c r="W557" s="130"/>
      <c r="X557" s="130"/>
      <c r="Y557" s="403"/>
      <c r="Z557" s="404"/>
    </row>
    <row r="558" spans="1:26" s="133" customFormat="1" x14ac:dyDescent="0.25">
      <c r="A558" s="209"/>
      <c r="B558" s="161"/>
      <c r="C558" s="105"/>
      <c r="D558" s="105"/>
      <c r="E558" s="105"/>
      <c r="F558" s="105"/>
      <c r="G558" s="105"/>
      <c r="H558" s="105"/>
      <c r="I558" s="105"/>
      <c r="J558" s="105"/>
      <c r="K558" s="136"/>
      <c r="L558" s="105"/>
      <c r="M558" s="105"/>
      <c r="N558" s="105"/>
      <c r="O558" s="105"/>
      <c r="P558" s="135"/>
      <c r="Q558" s="105"/>
      <c r="R558" s="136"/>
      <c r="S558" s="105"/>
      <c r="T558" s="135"/>
      <c r="U558" s="354"/>
      <c r="V558" s="353"/>
      <c r="W558" s="130"/>
      <c r="X558" s="130"/>
      <c r="Y558" s="403"/>
      <c r="Z558" s="404"/>
    </row>
    <row r="559" spans="1:26" s="133" customFormat="1" x14ac:dyDescent="0.25">
      <c r="A559" s="209"/>
      <c r="B559" s="161"/>
      <c r="C559" s="105"/>
      <c r="D559" s="105"/>
      <c r="E559" s="105"/>
      <c r="F559" s="105"/>
      <c r="G559" s="105"/>
      <c r="H559" s="105"/>
      <c r="I559" s="105"/>
      <c r="J559" s="105"/>
      <c r="K559" s="136"/>
      <c r="L559" s="105"/>
      <c r="M559" s="105"/>
      <c r="N559" s="105"/>
      <c r="O559" s="105"/>
      <c r="P559" s="135"/>
      <c r="Q559" s="105"/>
      <c r="R559" s="136"/>
      <c r="S559" s="105"/>
      <c r="T559" s="135"/>
      <c r="U559" s="354"/>
      <c r="V559" s="353"/>
      <c r="W559" s="130"/>
      <c r="X559" s="130"/>
      <c r="Y559" s="403"/>
      <c r="Z559" s="404"/>
    </row>
    <row r="560" spans="1:26" s="133" customFormat="1" x14ac:dyDescent="0.25">
      <c r="A560" s="209"/>
      <c r="B560" s="161"/>
      <c r="C560" s="105"/>
      <c r="D560" s="105"/>
      <c r="E560" s="105"/>
      <c r="F560" s="105"/>
      <c r="G560" s="105"/>
      <c r="H560" s="105"/>
      <c r="I560" s="105"/>
      <c r="J560" s="105"/>
      <c r="K560" s="136"/>
      <c r="L560" s="105"/>
      <c r="M560" s="105"/>
      <c r="N560" s="105"/>
      <c r="O560" s="105"/>
      <c r="P560" s="135"/>
      <c r="Q560" s="105"/>
      <c r="R560" s="136"/>
      <c r="S560" s="105"/>
      <c r="T560" s="135"/>
      <c r="U560" s="354"/>
      <c r="V560" s="353"/>
      <c r="W560" s="130"/>
      <c r="X560" s="130"/>
      <c r="Y560" s="403"/>
      <c r="Z560" s="404"/>
    </row>
    <row r="561" spans="1:26" s="133" customFormat="1" x14ac:dyDescent="0.25">
      <c r="A561" s="209"/>
      <c r="B561" s="161"/>
      <c r="C561" s="105"/>
      <c r="D561" s="105"/>
      <c r="E561" s="105"/>
      <c r="F561" s="105"/>
      <c r="G561" s="105"/>
      <c r="H561" s="105"/>
      <c r="I561" s="105"/>
      <c r="J561" s="105"/>
      <c r="K561" s="136"/>
      <c r="L561" s="105"/>
      <c r="M561" s="105"/>
      <c r="N561" s="105"/>
      <c r="O561" s="105"/>
      <c r="P561" s="135"/>
      <c r="Q561" s="105"/>
      <c r="R561" s="136"/>
      <c r="S561" s="105"/>
      <c r="T561" s="135"/>
      <c r="U561" s="354"/>
      <c r="V561" s="353"/>
      <c r="W561" s="130"/>
      <c r="X561" s="130"/>
      <c r="Y561" s="403"/>
      <c r="Z561" s="404"/>
    </row>
    <row r="562" spans="1:26" s="133" customFormat="1" x14ac:dyDescent="0.25">
      <c r="A562" s="209"/>
      <c r="B562" s="161"/>
      <c r="C562" s="105"/>
      <c r="D562" s="105"/>
      <c r="E562" s="105"/>
      <c r="F562" s="105"/>
      <c r="G562" s="105"/>
      <c r="H562" s="105"/>
      <c r="I562" s="105"/>
      <c r="J562" s="105"/>
      <c r="K562" s="136"/>
      <c r="L562" s="105"/>
      <c r="M562" s="105"/>
      <c r="N562" s="105"/>
      <c r="O562" s="105"/>
      <c r="P562" s="135"/>
      <c r="Q562" s="105"/>
      <c r="R562" s="136"/>
      <c r="S562" s="105"/>
      <c r="T562" s="135"/>
      <c r="U562" s="354"/>
      <c r="V562" s="353"/>
      <c r="W562" s="130"/>
      <c r="X562" s="130"/>
      <c r="Y562" s="403"/>
      <c r="Z562" s="404"/>
    </row>
    <row r="563" spans="1:26" s="133" customFormat="1" x14ac:dyDescent="0.25">
      <c r="A563" s="209"/>
      <c r="B563" s="161"/>
      <c r="C563" s="105"/>
      <c r="D563" s="105"/>
      <c r="E563" s="105"/>
      <c r="F563" s="105"/>
      <c r="G563" s="105"/>
      <c r="H563" s="105"/>
      <c r="I563" s="105"/>
      <c r="J563" s="105"/>
      <c r="K563" s="136"/>
      <c r="L563" s="105"/>
      <c r="M563" s="105"/>
      <c r="N563" s="105"/>
      <c r="O563" s="105"/>
      <c r="P563" s="135"/>
      <c r="Q563" s="105"/>
      <c r="R563" s="136"/>
      <c r="S563" s="105"/>
      <c r="T563" s="135"/>
      <c r="U563" s="354"/>
      <c r="V563" s="353"/>
      <c r="W563" s="130"/>
      <c r="X563" s="130"/>
      <c r="Y563" s="403"/>
      <c r="Z563" s="404"/>
    </row>
    <row r="564" spans="1:26" s="133" customFormat="1" x14ac:dyDescent="0.25">
      <c r="A564" s="209"/>
      <c r="B564" s="161"/>
      <c r="C564" s="105"/>
      <c r="D564" s="105"/>
      <c r="E564" s="105"/>
      <c r="F564" s="105"/>
      <c r="G564" s="105"/>
      <c r="H564" s="105"/>
      <c r="I564" s="105"/>
      <c r="J564" s="105"/>
      <c r="K564" s="136"/>
      <c r="L564" s="105"/>
      <c r="M564" s="105"/>
      <c r="N564" s="105"/>
      <c r="O564" s="105"/>
      <c r="P564" s="135"/>
      <c r="Q564" s="105"/>
      <c r="R564" s="136"/>
      <c r="S564" s="105"/>
      <c r="T564" s="135"/>
      <c r="U564" s="354"/>
      <c r="V564" s="353"/>
      <c r="W564" s="130"/>
      <c r="X564" s="130"/>
      <c r="Y564" s="403"/>
      <c r="Z564" s="404"/>
    </row>
    <row r="565" spans="1:26" s="133" customFormat="1" x14ac:dyDescent="0.25">
      <c r="A565" s="209"/>
      <c r="B565" s="161"/>
      <c r="C565" s="105"/>
      <c r="D565" s="105"/>
      <c r="E565" s="105"/>
      <c r="F565" s="105"/>
      <c r="G565" s="105"/>
      <c r="H565" s="105"/>
      <c r="I565" s="105"/>
      <c r="J565" s="105"/>
      <c r="K565" s="136"/>
      <c r="L565" s="105"/>
      <c r="M565" s="105"/>
      <c r="N565" s="105"/>
      <c r="O565" s="105"/>
      <c r="P565" s="135"/>
      <c r="Q565" s="105"/>
      <c r="R565" s="136"/>
      <c r="S565" s="105"/>
      <c r="T565" s="135"/>
      <c r="U565" s="354"/>
      <c r="V565" s="353"/>
      <c r="W565" s="130"/>
      <c r="X565" s="130"/>
      <c r="Y565" s="403"/>
      <c r="Z565" s="404"/>
    </row>
    <row r="566" spans="1:26" s="133" customFormat="1" x14ac:dyDescent="0.25">
      <c r="A566" s="209"/>
      <c r="B566" s="161"/>
      <c r="C566" s="105"/>
      <c r="D566" s="105"/>
      <c r="E566" s="105"/>
      <c r="F566" s="105"/>
      <c r="G566" s="105"/>
      <c r="H566" s="105"/>
      <c r="I566" s="105"/>
      <c r="J566" s="105"/>
      <c r="K566" s="136"/>
      <c r="L566" s="105"/>
      <c r="M566" s="105"/>
      <c r="N566" s="105"/>
      <c r="O566" s="105"/>
      <c r="P566" s="135"/>
      <c r="Q566" s="105"/>
      <c r="R566" s="136"/>
      <c r="S566" s="105"/>
      <c r="T566" s="135"/>
      <c r="U566" s="354"/>
      <c r="V566" s="353"/>
      <c r="W566" s="130"/>
      <c r="X566" s="130"/>
      <c r="Y566" s="403"/>
      <c r="Z566" s="404"/>
    </row>
    <row r="567" spans="1:26" s="133" customFormat="1" x14ac:dyDescent="0.25">
      <c r="A567" s="209"/>
      <c r="B567" s="161"/>
      <c r="C567" s="105"/>
      <c r="D567" s="105"/>
      <c r="E567" s="105"/>
      <c r="F567" s="105"/>
      <c r="G567" s="105"/>
      <c r="H567" s="105"/>
      <c r="I567" s="105"/>
      <c r="J567" s="105"/>
      <c r="K567" s="136"/>
      <c r="L567" s="105"/>
      <c r="M567" s="105"/>
      <c r="N567" s="105"/>
      <c r="O567" s="105"/>
      <c r="P567" s="135"/>
      <c r="Q567" s="105"/>
      <c r="R567" s="136"/>
      <c r="S567" s="105"/>
      <c r="T567" s="135"/>
      <c r="U567" s="354"/>
      <c r="V567" s="353"/>
      <c r="W567" s="130"/>
      <c r="X567" s="130"/>
      <c r="Y567" s="403"/>
      <c r="Z567" s="404"/>
    </row>
    <row r="568" spans="1:26" s="133" customFormat="1" x14ac:dyDescent="0.25">
      <c r="A568" s="209"/>
      <c r="B568" s="161"/>
      <c r="C568" s="105"/>
      <c r="D568" s="105"/>
      <c r="E568" s="105"/>
      <c r="F568" s="105"/>
      <c r="G568" s="105"/>
      <c r="H568" s="105"/>
      <c r="I568" s="105"/>
      <c r="J568" s="105"/>
      <c r="K568" s="136"/>
      <c r="L568" s="105"/>
      <c r="M568" s="105"/>
      <c r="N568" s="105"/>
      <c r="O568" s="105"/>
      <c r="P568" s="135"/>
      <c r="Q568" s="105"/>
      <c r="R568" s="136"/>
      <c r="S568" s="105"/>
      <c r="T568" s="135"/>
      <c r="U568" s="354"/>
      <c r="V568" s="353"/>
      <c r="W568" s="130"/>
      <c r="X568" s="130"/>
      <c r="Y568" s="403"/>
      <c r="Z568" s="404"/>
    </row>
    <row r="569" spans="1:26" s="133" customFormat="1" x14ac:dyDescent="0.25">
      <c r="A569" s="209"/>
      <c r="B569" s="161"/>
      <c r="C569" s="105"/>
      <c r="D569" s="105"/>
      <c r="E569" s="105"/>
      <c r="F569" s="105"/>
      <c r="G569" s="105"/>
      <c r="H569" s="105"/>
      <c r="I569" s="105"/>
      <c r="J569" s="105"/>
      <c r="K569" s="136"/>
      <c r="L569" s="105"/>
      <c r="M569" s="105"/>
      <c r="N569" s="105"/>
      <c r="O569" s="105"/>
      <c r="P569" s="135"/>
      <c r="Q569" s="105"/>
      <c r="R569" s="136"/>
      <c r="S569" s="105"/>
      <c r="T569" s="135"/>
      <c r="U569" s="354"/>
      <c r="V569" s="353"/>
      <c r="W569" s="130"/>
      <c r="X569" s="130"/>
      <c r="Y569" s="403"/>
      <c r="Z569" s="404"/>
    </row>
    <row r="570" spans="1:26" s="133" customFormat="1" x14ac:dyDescent="0.25">
      <c r="A570" s="209"/>
      <c r="B570" s="161"/>
      <c r="C570" s="105"/>
      <c r="D570" s="105"/>
      <c r="E570" s="105"/>
      <c r="F570" s="105"/>
      <c r="G570" s="105"/>
      <c r="H570" s="105"/>
      <c r="I570" s="105"/>
      <c r="J570" s="105"/>
      <c r="K570" s="136"/>
      <c r="L570" s="105"/>
      <c r="M570" s="105"/>
      <c r="N570" s="105"/>
      <c r="O570" s="105"/>
      <c r="P570" s="135"/>
      <c r="Q570" s="105"/>
      <c r="R570" s="136"/>
      <c r="S570" s="105"/>
      <c r="T570" s="135"/>
      <c r="U570" s="354"/>
      <c r="V570" s="353"/>
      <c r="W570" s="130"/>
      <c r="X570" s="130"/>
      <c r="Y570" s="403"/>
      <c r="Z570" s="404"/>
    </row>
    <row r="571" spans="1:26" s="133" customFormat="1" x14ac:dyDescent="0.25">
      <c r="A571" s="209"/>
      <c r="B571" s="161"/>
      <c r="C571" s="105"/>
      <c r="D571" s="105"/>
      <c r="E571" s="105"/>
      <c r="F571" s="105"/>
      <c r="G571" s="105"/>
      <c r="H571" s="105"/>
      <c r="I571" s="105"/>
      <c r="J571" s="105"/>
      <c r="K571" s="136"/>
      <c r="L571" s="105"/>
      <c r="M571" s="105"/>
      <c r="N571" s="105"/>
      <c r="O571" s="105"/>
      <c r="P571" s="135"/>
      <c r="Q571" s="105"/>
      <c r="R571" s="136"/>
      <c r="S571" s="105"/>
      <c r="T571" s="135"/>
      <c r="U571" s="354"/>
      <c r="V571" s="353"/>
      <c r="W571" s="130"/>
      <c r="X571" s="130"/>
      <c r="Y571" s="403"/>
      <c r="Z571" s="404"/>
    </row>
    <row r="572" spans="1:26" s="133" customFormat="1" x14ac:dyDescent="0.25">
      <c r="A572" s="209"/>
      <c r="B572" s="161"/>
      <c r="C572" s="105"/>
      <c r="D572" s="105"/>
      <c r="E572" s="105"/>
      <c r="F572" s="105"/>
      <c r="G572" s="105"/>
      <c r="H572" s="105"/>
      <c r="I572" s="105"/>
      <c r="J572" s="105"/>
      <c r="K572" s="136"/>
      <c r="L572" s="105"/>
      <c r="M572" s="105"/>
      <c r="N572" s="105"/>
      <c r="O572" s="105"/>
      <c r="P572" s="135"/>
      <c r="Q572" s="105"/>
      <c r="R572" s="136"/>
      <c r="S572" s="105"/>
      <c r="T572" s="135"/>
      <c r="U572" s="354"/>
      <c r="V572" s="353"/>
      <c r="W572" s="130"/>
      <c r="X572" s="130"/>
      <c r="Y572" s="403"/>
      <c r="Z572" s="404"/>
    </row>
    <row r="573" spans="1:26" s="133" customFormat="1" x14ac:dyDescent="0.25">
      <c r="A573" s="209"/>
      <c r="B573" s="161"/>
      <c r="C573" s="105"/>
      <c r="D573" s="105"/>
      <c r="E573" s="105"/>
      <c r="F573" s="105"/>
      <c r="G573" s="105"/>
      <c r="H573" s="105"/>
      <c r="I573" s="105"/>
      <c r="J573" s="105"/>
      <c r="K573" s="136"/>
      <c r="L573" s="105"/>
      <c r="M573" s="105"/>
      <c r="N573" s="105"/>
      <c r="O573" s="105"/>
      <c r="P573" s="135"/>
      <c r="Q573" s="105"/>
      <c r="R573" s="136"/>
      <c r="S573" s="105"/>
      <c r="T573" s="135"/>
      <c r="U573" s="354"/>
      <c r="V573" s="353"/>
      <c r="W573" s="130"/>
      <c r="X573" s="130"/>
      <c r="Y573" s="403"/>
      <c r="Z573" s="404"/>
    </row>
    <row r="574" spans="1:26" s="133" customFormat="1" x14ac:dyDescent="0.25">
      <c r="A574" s="209"/>
      <c r="B574" s="161"/>
      <c r="C574" s="105"/>
      <c r="D574" s="105"/>
      <c r="E574" s="105"/>
      <c r="F574" s="105"/>
      <c r="G574" s="105"/>
      <c r="H574" s="105"/>
      <c r="I574" s="105"/>
      <c r="J574" s="105"/>
      <c r="K574" s="136"/>
      <c r="L574" s="105"/>
      <c r="M574" s="105"/>
      <c r="N574" s="105"/>
      <c r="O574" s="105"/>
      <c r="P574" s="135"/>
      <c r="Q574" s="105"/>
      <c r="R574" s="136"/>
      <c r="S574" s="105"/>
      <c r="T574" s="135"/>
      <c r="U574" s="354"/>
      <c r="V574" s="353"/>
      <c r="W574" s="130"/>
      <c r="X574" s="130"/>
      <c r="Y574" s="403"/>
      <c r="Z574" s="404"/>
    </row>
    <row r="575" spans="1:26" s="133" customFormat="1" x14ac:dyDescent="0.25">
      <c r="A575" s="209"/>
      <c r="B575" s="161"/>
      <c r="C575" s="105"/>
      <c r="D575" s="105"/>
      <c r="E575" s="105"/>
      <c r="F575" s="105"/>
      <c r="G575" s="105"/>
      <c r="H575" s="105"/>
      <c r="I575" s="105"/>
      <c r="J575" s="105"/>
      <c r="K575" s="136"/>
      <c r="L575" s="105"/>
      <c r="M575" s="105"/>
      <c r="N575" s="105"/>
      <c r="O575" s="105"/>
      <c r="P575" s="135"/>
      <c r="Q575" s="105"/>
      <c r="R575" s="136"/>
      <c r="S575" s="105"/>
      <c r="T575" s="135"/>
      <c r="U575" s="354"/>
      <c r="V575" s="353"/>
      <c r="W575" s="130"/>
      <c r="X575" s="130"/>
      <c r="Y575" s="403"/>
      <c r="Z575" s="404"/>
    </row>
    <row r="576" spans="1:26" s="133" customFormat="1" x14ac:dyDescent="0.25">
      <c r="A576" s="209"/>
      <c r="B576" s="161"/>
      <c r="C576" s="105"/>
      <c r="D576" s="105"/>
      <c r="E576" s="105"/>
      <c r="F576" s="105"/>
      <c r="G576" s="105"/>
      <c r="H576" s="105"/>
      <c r="I576" s="105"/>
      <c r="J576" s="105"/>
      <c r="K576" s="136"/>
      <c r="L576" s="105"/>
      <c r="M576" s="105"/>
      <c r="N576" s="105"/>
      <c r="O576" s="105"/>
      <c r="P576" s="135"/>
      <c r="Q576" s="105"/>
      <c r="R576" s="136"/>
      <c r="S576" s="105"/>
      <c r="T576" s="135"/>
      <c r="U576" s="354"/>
      <c r="V576" s="353"/>
      <c r="W576" s="130"/>
      <c r="X576" s="130"/>
      <c r="Y576" s="403"/>
      <c r="Z576" s="404"/>
    </row>
    <row r="577" spans="1:26" s="133" customFormat="1" x14ac:dyDescent="0.25">
      <c r="A577" s="209"/>
      <c r="B577" s="161"/>
      <c r="C577" s="105"/>
      <c r="D577" s="105"/>
      <c r="E577" s="105"/>
      <c r="F577" s="105"/>
      <c r="G577" s="105"/>
      <c r="H577" s="105"/>
      <c r="I577" s="105"/>
      <c r="J577" s="105"/>
      <c r="K577" s="136"/>
      <c r="L577" s="105"/>
      <c r="M577" s="105"/>
      <c r="N577" s="105"/>
      <c r="O577" s="105"/>
      <c r="P577" s="135"/>
      <c r="Q577" s="105"/>
      <c r="R577" s="136"/>
      <c r="S577" s="105"/>
      <c r="T577" s="135"/>
      <c r="U577" s="354"/>
      <c r="V577" s="353"/>
      <c r="W577" s="130"/>
      <c r="X577" s="130"/>
      <c r="Y577" s="403"/>
      <c r="Z577" s="404"/>
    </row>
    <row r="578" spans="1:26" s="133" customFormat="1" x14ac:dyDescent="0.25">
      <c r="A578" s="209"/>
      <c r="B578" s="161"/>
      <c r="C578" s="105"/>
      <c r="D578" s="105"/>
      <c r="E578" s="105"/>
      <c r="F578" s="105"/>
      <c r="G578" s="105"/>
      <c r="H578" s="105"/>
      <c r="I578" s="105"/>
      <c r="J578" s="105"/>
      <c r="K578" s="136"/>
      <c r="L578" s="105"/>
      <c r="M578" s="105"/>
      <c r="N578" s="105"/>
      <c r="O578" s="105"/>
      <c r="P578" s="135"/>
      <c r="Q578" s="105"/>
      <c r="R578" s="136"/>
      <c r="S578" s="105"/>
      <c r="T578" s="135"/>
      <c r="U578" s="354"/>
      <c r="V578" s="353"/>
      <c r="W578" s="130"/>
      <c r="X578" s="130"/>
      <c r="Y578" s="403"/>
      <c r="Z578" s="404"/>
    </row>
    <row r="579" spans="1:26" s="133" customFormat="1" x14ac:dyDescent="0.25">
      <c r="A579" s="209"/>
      <c r="B579" s="161"/>
      <c r="C579" s="105"/>
      <c r="D579" s="105"/>
      <c r="E579" s="105"/>
      <c r="F579" s="105"/>
      <c r="G579" s="105"/>
      <c r="H579" s="105"/>
      <c r="I579" s="105"/>
      <c r="J579" s="105"/>
      <c r="K579" s="136"/>
      <c r="L579" s="105"/>
      <c r="M579" s="105"/>
      <c r="N579" s="105"/>
      <c r="O579" s="105"/>
      <c r="P579" s="135"/>
      <c r="Q579" s="105"/>
      <c r="R579" s="136"/>
      <c r="S579" s="105"/>
      <c r="T579" s="135"/>
      <c r="U579" s="354"/>
      <c r="V579" s="353"/>
      <c r="W579" s="130"/>
      <c r="X579" s="130"/>
      <c r="Y579" s="403"/>
      <c r="Z579" s="404"/>
    </row>
    <row r="580" spans="1:26" s="133" customFormat="1" x14ac:dyDescent="0.25">
      <c r="A580" s="209"/>
      <c r="B580" s="161"/>
      <c r="C580" s="105"/>
      <c r="D580" s="105"/>
      <c r="E580" s="105"/>
      <c r="F580" s="105"/>
      <c r="G580" s="105"/>
      <c r="H580" s="105"/>
      <c r="I580" s="105"/>
      <c r="J580" s="105"/>
      <c r="K580" s="136"/>
      <c r="L580" s="105"/>
      <c r="M580" s="105"/>
      <c r="N580" s="105"/>
      <c r="O580" s="105"/>
      <c r="P580" s="135"/>
      <c r="Q580" s="105"/>
      <c r="R580" s="136"/>
      <c r="S580" s="105"/>
      <c r="T580" s="135"/>
      <c r="U580" s="354"/>
      <c r="V580" s="353"/>
      <c r="W580" s="130"/>
      <c r="X580" s="130"/>
      <c r="Y580" s="403"/>
      <c r="Z580" s="404"/>
    </row>
    <row r="581" spans="1:26" s="133" customFormat="1" x14ac:dyDescent="0.25">
      <c r="A581" s="209"/>
      <c r="B581" s="161"/>
      <c r="C581" s="105"/>
      <c r="D581" s="105"/>
      <c r="E581" s="105"/>
      <c r="F581" s="105"/>
      <c r="G581" s="105"/>
      <c r="H581" s="105"/>
      <c r="I581" s="105"/>
      <c r="J581" s="105"/>
      <c r="K581" s="136"/>
      <c r="L581" s="105"/>
      <c r="M581" s="105"/>
      <c r="N581" s="105"/>
      <c r="O581" s="105"/>
      <c r="P581" s="135"/>
      <c r="Q581" s="105"/>
      <c r="R581" s="136"/>
      <c r="S581" s="105"/>
      <c r="T581" s="135"/>
      <c r="U581" s="354"/>
      <c r="V581" s="353"/>
      <c r="W581" s="130"/>
      <c r="X581" s="130"/>
      <c r="Y581" s="403"/>
      <c r="Z581" s="404"/>
    </row>
    <row r="582" spans="1:26" s="133" customFormat="1" x14ac:dyDescent="0.25">
      <c r="A582" s="209"/>
      <c r="B582" s="161"/>
      <c r="C582" s="105"/>
      <c r="D582" s="105"/>
      <c r="E582" s="105"/>
      <c r="F582" s="105"/>
      <c r="G582" s="105"/>
      <c r="H582" s="105"/>
      <c r="I582" s="105"/>
      <c r="J582" s="105"/>
      <c r="K582" s="136"/>
      <c r="L582" s="105"/>
      <c r="M582" s="105"/>
      <c r="N582" s="105"/>
      <c r="O582" s="105"/>
      <c r="P582" s="135"/>
      <c r="Q582" s="105"/>
      <c r="R582" s="136"/>
      <c r="S582" s="105"/>
      <c r="T582" s="135"/>
      <c r="U582" s="354"/>
      <c r="V582" s="353"/>
      <c r="W582" s="130"/>
      <c r="X582" s="130"/>
      <c r="Y582" s="403"/>
      <c r="Z582" s="404"/>
    </row>
    <row r="583" spans="1:26" s="133" customFormat="1" x14ac:dyDescent="0.25">
      <c r="A583" s="209"/>
      <c r="B583" s="161"/>
      <c r="C583" s="105"/>
      <c r="D583" s="105"/>
      <c r="E583" s="105"/>
      <c r="F583" s="105"/>
      <c r="G583" s="105"/>
      <c r="H583" s="105"/>
      <c r="I583" s="105"/>
      <c r="J583" s="105"/>
      <c r="K583" s="136"/>
      <c r="L583" s="105"/>
      <c r="M583" s="105"/>
      <c r="N583" s="105"/>
      <c r="O583" s="105"/>
      <c r="P583" s="135"/>
      <c r="Q583" s="105"/>
      <c r="R583" s="136"/>
      <c r="S583" s="105"/>
      <c r="T583" s="135"/>
      <c r="U583" s="354"/>
      <c r="V583" s="353"/>
      <c r="W583" s="130"/>
      <c r="X583" s="130"/>
      <c r="Y583" s="403"/>
      <c r="Z583" s="404"/>
    </row>
    <row r="584" spans="1:26" s="133" customFormat="1" x14ac:dyDescent="0.25">
      <c r="A584" s="209"/>
      <c r="B584" s="161"/>
      <c r="C584" s="105"/>
      <c r="D584" s="105"/>
      <c r="E584" s="105"/>
      <c r="F584" s="105"/>
      <c r="G584" s="105"/>
      <c r="H584" s="105"/>
      <c r="I584" s="105"/>
      <c r="J584" s="105"/>
      <c r="K584" s="136"/>
      <c r="L584" s="105"/>
      <c r="M584" s="105"/>
      <c r="N584" s="105"/>
      <c r="O584" s="105"/>
      <c r="P584" s="135"/>
      <c r="Q584" s="105"/>
      <c r="R584" s="136"/>
      <c r="S584" s="105"/>
      <c r="T584" s="135"/>
      <c r="U584" s="354"/>
      <c r="V584" s="353"/>
      <c r="W584" s="130"/>
      <c r="X584" s="130"/>
      <c r="Y584" s="403"/>
      <c r="Z584" s="404"/>
    </row>
    <row r="585" spans="1:26" s="133" customFormat="1" x14ac:dyDescent="0.25">
      <c r="A585" s="209"/>
      <c r="B585" s="161"/>
      <c r="C585" s="105"/>
      <c r="D585" s="105"/>
      <c r="E585" s="105"/>
      <c r="F585" s="105"/>
      <c r="G585" s="105"/>
      <c r="H585" s="105"/>
      <c r="I585" s="105"/>
      <c r="J585" s="105"/>
      <c r="K585" s="136"/>
      <c r="L585" s="105"/>
      <c r="M585" s="105"/>
      <c r="N585" s="105"/>
      <c r="O585" s="105"/>
      <c r="P585" s="135"/>
      <c r="Q585" s="105"/>
      <c r="R585" s="136"/>
      <c r="S585" s="105"/>
      <c r="T585" s="135"/>
      <c r="U585" s="354"/>
      <c r="V585" s="353"/>
      <c r="W585" s="130"/>
      <c r="X585" s="130"/>
      <c r="Y585" s="403"/>
      <c r="Z585" s="404"/>
    </row>
    <row r="586" spans="1:26" s="133" customFormat="1" x14ac:dyDescent="0.25">
      <c r="A586" s="209"/>
      <c r="B586" s="161"/>
      <c r="C586" s="105"/>
      <c r="D586" s="105"/>
      <c r="E586" s="105"/>
      <c r="F586" s="105"/>
      <c r="G586" s="105"/>
      <c r="H586" s="105"/>
      <c r="I586" s="105"/>
      <c r="J586" s="105"/>
      <c r="K586" s="136"/>
      <c r="L586" s="105"/>
      <c r="M586" s="105"/>
      <c r="N586" s="105"/>
      <c r="O586" s="105"/>
      <c r="P586" s="135"/>
      <c r="Q586" s="105"/>
      <c r="R586" s="136"/>
      <c r="S586" s="105"/>
      <c r="T586" s="135"/>
      <c r="U586" s="354"/>
      <c r="V586" s="353"/>
      <c r="W586" s="130"/>
      <c r="X586" s="130"/>
      <c r="Y586" s="403"/>
      <c r="Z586" s="404"/>
    </row>
    <row r="587" spans="1:26" s="133" customFormat="1" x14ac:dyDescent="0.25">
      <c r="A587" s="209"/>
      <c r="B587" s="161"/>
      <c r="C587" s="105"/>
      <c r="D587" s="105"/>
      <c r="E587" s="105"/>
      <c r="F587" s="105"/>
      <c r="G587" s="105"/>
      <c r="H587" s="105"/>
      <c r="I587" s="105"/>
      <c r="J587" s="105"/>
      <c r="K587" s="136"/>
      <c r="L587" s="105"/>
      <c r="M587" s="105"/>
      <c r="N587" s="105"/>
      <c r="O587" s="105"/>
      <c r="P587" s="135"/>
      <c r="Q587" s="105"/>
      <c r="R587" s="136"/>
      <c r="S587" s="105"/>
      <c r="T587" s="135"/>
      <c r="U587" s="354"/>
      <c r="V587" s="353"/>
      <c r="W587" s="130"/>
      <c r="X587" s="130"/>
      <c r="Y587" s="403"/>
      <c r="Z587" s="404"/>
    </row>
    <row r="588" spans="1:26" s="133" customFormat="1" x14ac:dyDescent="0.25">
      <c r="A588" s="209"/>
      <c r="B588" s="161"/>
      <c r="C588" s="105"/>
      <c r="D588" s="105"/>
      <c r="E588" s="105"/>
      <c r="F588" s="105"/>
      <c r="G588" s="105"/>
      <c r="H588" s="105"/>
      <c r="I588" s="105"/>
      <c r="J588" s="105"/>
      <c r="K588" s="136"/>
      <c r="L588" s="105"/>
      <c r="M588" s="105"/>
      <c r="N588" s="105"/>
      <c r="O588" s="105"/>
      <c r="P588" s="135"/>
      <c r="Q588" s="105"/>
      <c r="R588" s="136"/>
      <c r="S588" s="105"/>
      <c r="T588" s="135"/>
      <c r="U588" s="354"/>
      <c r="V588" s="353"/>
      <c r="W588" s="130"/>
      <c r="X588" s="130"/>
      <c r="Y588" s="403"/>
      <c r="Z588" s="404"/>
    </row>
    <row r="589" spans="1:26" s="133" customFormat="1" x14ac:dyDescent="0.25">
      <c r="A589" s="209"/>
      <c r="B589" s="161"/>
      <c r="C589" s="105"/>
      <c r="D589" s="105"/>
      <c r="E589" s="105"/>
      <c r="F589" s="105"/>
      <c r="G589" s="105"/>
      <c r="H589" s="105"/>
      <c r="I589" s="105"/>
      <c r="J589" s="105"/>
      <c r="K589" s="136"/>
      <c r="L589" s="105"/>
      <c r="M589" s="105"/>
      <c r="N589" s="105"/>
      <c r="O589" s="105"/>
      <c r="P589" s="135"/>
      <c r="Q589" s="105"/>
      <c r="R589" s="136"/>
      <c r="S589" s="105"/>
      <c r="T589" s="135"/>
      <c r="U589" s="354"/>
      <c r="V589" s="353"/>
      <c r="W589" s="130"/>
      <c r="X589" s="130"/>
      <c r="Y589" s="403"/>
      <c r="Z589" s="404"/>
    </row>
    <row r="590" spans="1:26" s="133" customFormat="1" x14ac:dyDescent="0.25">
      <c r="A590" s="209"/>
      <c r="B590" s="161"/>
      <c r="C590" s="105"/>
      <c r="D590" s="105"/>
      <c r="E590" s="105"/>
      <c r="F590" s="105"/>
      <c r="G590" s="105"/>
      <c r="H590" s="105"/>
      <c r="I590" s="105"/>
      <c r="J590" s="105"/>
      <c r="K590" s="136"/>
      <c r="L590" s="105"/>
      <c r="M590" s="105"/>
      <c r="N590" s="105"/>
      <c r="O590" s="105"/>
      <c r="P590" s="135"/>
      <c r="Q590" s="105"/>
      <c r="R590" s="136"/>
      <c r="S590" s="105"/>
      <c r="T590" s="135"/>
      <c r="U590" s="354"/>
      <c r="V590" s="353"/>
      <c r="W590" s="130"/>
      <c r="X590" s="130"/>
      <c r="Y590" s="403"/>
      <c r="Z590" s="404"/>
    </row>
    <row r="591" spans="1:26" s="133" customFormat="1" x14ac:dyDescent="0.25">
      <c r="A591" s="209"/>
      <c r="B591" s="161"/>
      <c r="C591" s="105"/>
      <c r="D591" s="105"/>
      <c r="E591" s="105"/>
      <c r="F591" s="105"/>
      <c r="G591" s="105"/>
      <c r="H591" s="105"/>
      <c r="I591" s="105"/>
      <c r="J591" s="105"/>
      <c r="K591" s="136"/>
      <c r="L591" s="105"/>
      <c r="M591" s="105"/>
      <c r="N591" s="105"/>
      <c r="O591" s="105"/>
      <c r="P591" s="135"/>
      <c r="Q591" s="105"/>
      <c r="R591" s="136"/>
      <c r="S591" s="105"/>
      <c r="T591" s="135"/>
      <c r="U591" s="354"/>
      <c r="V591" s="353"/>
      <c r="W591" s="130"/>
      <c r="X591" s="130"/>
      <c r="Y591" s="403"/>
      <c r="Z591" s="404"/>
    </row>
    <row r="592" spans="1:26" s="133" customFormat="1" x14ac:dyDescent="0.25">
      <c r="A592" s="209"/>
      <c r="B592" s="161"/>
      <c r="C592" s="105"/>
      <c r="D592" s="105"/>
      <c r="E592" s="105"/>
      <c r="F592" s="105"/>
      <c r="G592" s="105"/>
      <c r="H592" s="105"/>
      <c r="I592" s="105"/>
      <c r="J592" s="105"/>
      <c r="K592" s="136"/>
      <c r="L592" s="105"/>
      <c r="M592" s="105"/>
      <c r="N592" s="105"/>
      <c r="O592" s="105"/>
      <c r="P592" s="135"/>
      <c r="Q592" s="105"/>
      <c r="R592" s="136"/>
      <c r="S592" s="105"/>
      <c r="T592" s="135"/>
      <c r="U592" s="354"/>
      <c r="V592" s="353"/>
      <c r="W592" s="130"/>
      <c r="X592" s="130"/>
      <c r="Y592" s="403"/>
      <c r="Z592" s="404"/>
    </row>
    <row r="593" spans="1:26" s="133" customFormat="1" x14ac:dyDescent="0.25">
      <c r="A593" s="209"/>
      <c r="B593" s="161"/>
      <c r="C593" s="105"/>
      <c r="D593" s="105"/>
      <c r="E593" s="105"/>
      <c r="F593" s="105"/>
      <c r="G593" s="105"/>
      <c r="H593" s="105"/>
      <c r="I593" s="105"/>
      <c r="J593" s="105"/>
      <c r="K593" s="136"/>
      <c r="L593" s="105"/>
      <c r="M593" s="105"/>
      <c r="N593" s="105"/>
      <c r="O593" s="105"/>
      <c r="P593" s="135"/>
      <c r="Q593" s="105"/>
      <c r="R593" s="136"/>
      <c r="S593" s="105"/>
      <c r="T593" s="135"/>
      <c r="U593" s="354"/>
      <c r="V593" s="353"/>
      <c r="W593" s="130"/>
      <c r="X593" s="130"/>
      <c r="Y593" s="403"/>
      <c r="Z593" s="404"/>
    </row>
    <row r="594" spans="1:26" s="133" customFormat="1" x14ac:dyDescent="0.25">
      <c r="A594" s="209"/>
      <c r="B594" s="161"/>
      <c r="C594" s="105"/>
      <c r="D594" s="105"/>
      <c r="E594" s="105"/>
      <c r="F594" s="105"/>
      <c r="G594" s="105"/>
      <c r="H594" s="105"/>
      <c r="I594" s="105"/>
      <c r="J594" s="105"/>
      <c r="K594" s="136"/>
      <c r="L594" s="105"/>
      <c r="M594" s="105"/>
      <c r="N594" s="105"/>
      <c r="O594" s="105"/>
      <c r="P594" s="135"/>
      <c r="Q594" s="105"/>
      <c r="R594" s="136"/>
      <c r="S594" s="105"/>
      <c r="T594" s="135"/>
      <c r="U594" s="354"/>
      <c r="V594" s="353"/>
      <c r="W594" s="130"/>
      <c r="X594" s="130"/>
      <c r="Y594" s="403"/>
      <c r="Z594" s="404"/>
    </row>
    <row r="595" spans="1:26" s="133" customFormat="1" x14ac:dyDescent="0.25">
      <c r="A595" s="209"/>
      <c r="B595" s="161"/>
      <c r="C595" s="105"/>
      <c r="D595" s="105"/>
      <c r="E595" s="105"/>
      <c r="F595" s="105"/>
      <c r="G595" s="105"/>
      <c r="H595" s="105"/>
      <c r="I595" s="105"/>
      <c r="J595" s="105"/>
      <c r="K595" s="136"/>
      <c r="L595" s="105"/>
      <c r="M595" s="105"/>
      <c r="N595" s="105"/>
      <c r="O595" s="105"/>
      <c r="P595" s="135"/>
      <c r="Q595" s="105"/>
      <c r="R595" s="136"/>
      <c r="S595" s="105"/>
      <c r="T595" s="135"/>
      <c r="U595" s="354"/>
      <c r="V595" s="353"/>
      <c r="W595" s="130"/>
      <c r="X595" s="130"/>
      <c r="Y595" s="403"/>
      <c r="Z595" s="404"/>
    </row>
    <row r="596" spans="1:26" s="133" customFormat="1" x14ac:dyDescent="0.25">
      <c r="A596" s="209"/>
      <c r="B596" s="161"/>
      <c r="C596" s="105"/>
      <c r="D596" s="105"/>
      <c r="E596" s="105"/>
      <c r="F596" s="105"/>
      <c r="G596" s="105"/>
      <c r="H596" s="105"/>
      <c r="I596" s="105"/>
      <c r="J596" s="105"/>
      <c r="K596" s="136"/>
      <c r="L596" s="105"/>
      <c r="M596" s="105"/>
      <c r="N596" s="105"/>
      <c r="O596" s="105"/>
      <c r="P596" s="135"/>
      <c r="Q596" s="105"/>
      <c r="R596" s="136"/>
      <c r="S596" s="105"/>
      <c r="T596" s="135"/>
      <c r="U596" s="354"/>
      <c r="V596" s="353"/>
      <c r="W596" s="130"/>
      <c r="X596" s="130"/>
      <c r="Y596" s="403"/>
      <c r="Z596" s="404"/>
    </row>
    <row r="597" spans="1:26" s="133" customFormat="1" x14ac:dyDescent="0.25">
      <c r="A597" s="209"/>
      <c r="B597" s="161"/>
      <c r="C597" s="105"/>
      <c r="D597" s="105"/>
      <c r="E597" s="105"/>
      <c r="F597" s="105"/>
      <c r="G597" s="105"/>
      <c r="H597" s="105"/>
      <c r="I597" s="105"/>
      <c r="J597" s="105"/>
      <c r="K597" s="136"/>
      <c r="L597" s="105"/>
      <c r="M597" s="105"/>
      <c r="N597" s="105"/>
      <c r="O597" s="105"/>
      <c r="P597" s="135"/>
      <c r="Q597" s="105"/>
      <c r="R597" s="136"/>
      <c r="S597" s="105"/>
      <c r="T597" s="135"/>
      <c r="U597" s="354"/>
      <c r="V597" s="353"/>
      <c r="W597" s="130"/>
      <c r="X597" s="130"/>
      <c r="Y597" s="403"/>
      <c r="Z597" s="404"/>
    </row>
    <row r="598" spans="1:26" s="133" customFormat="1" x14ac:dyDescent="0.25">
      <c r="A598" s="209"/>
      <c r="B598" s="161"/>
      <c r="C598" s="105"/>
      <c r="D598" s="105"/>
      <c r="E598" s="105"/>
      <c r="F598" s="105"/>
      <c r="G598" s="105"/>
      <c r="H598" s="105"/>
      <c r="I598" s="105"/>
      <c r="J598" s="105"/>
      <c r="K598" s="136"/>
      <c r="L598" s="105"/>
      <c r="M598" s="105"/>
      <c r="N598" s="105"/>
      <c r="O598" s="105"/>
      <c r="P598" s="135"/>
      <c r="Q598" s="105"/>
      <c r="R598" s="136"/>
      <c r="S598" s="105"/>
      <c r="T598" s="135"/>
      <c r="U598" s="354"/>
      <c r="V598" s="353"/>
      <c r="W598" s="130"/>
      <c r="X598" s="130"/>
      <c r="Y598" s="403"/>
      <c r="Z598" s="404"/>
    </row>
    <row r="599" spans="1:26" s="133" customFormat="1" x14ac:dyDescent="0.25">
      <c r="A599" s="209"/>
      <c r="B599" s="161"/>
      <c r="C599" s="105"/>
      <c r="D599" s="105"/>
      <c r="E599" s="105"/>
      <c r="F599" s="105"/>
      <c r="G599" s="105"/>
      <c r="H599" s="105"/>
      <c r="I599" s="105"/>
      <c r="J599" s="105"/>
      <c r="K599" s="136"/>
      <c r="L599" s="105"/>
      <c r="M599" s="105"/>
      <c r="N599" s="105"/>
      <c r="O599" s="105"/>
      <c r="P599" s="135"/>
      <c r="Q599" s="105"/>
      <c r="R599" s="136"/>
      <c r="S599" s="105"/>
      <c r="T599" s="135"/>
      <c r="U599" s="354"/>
      <c r="V599" s="353"/>
      <c r="W599" s="130"/>
      <c r="X599" s="130"/>
      <c r="Y599" s="403"/>
      <c r="Z599" s="404"/>
    </row>
    <row r="600" spans="1:26" s="133" customFormat="1" x14ac:dyDescent="0.25">
      <c r="A600" s="209"/>
      <c r="B600" s="161"/>
      <c r="C600" s="105"/>
      <c r="D600" s="105"/>
      <c r="E600" s="105"/>
      <c r="F600" s="105"/>
      <c r="G600" s="105"/>
      <c r="H600" s="105"/>
      <c r="I600" s="105"/>
      <c r="J600" s="105"/>
      <c r="K600" s="136"/>
      <c r="L600" s="105"/>
      <c r="M600" s="105"/>
      <c r="N600" s="105"/>
      <c r="O600" s="105"/>
      <c r="P600" s="135"/>
      <c r="Q600" s="105"/>
      <c r="R600" s="136"/>
      <c r="S600" s="105"/>
      <c r="T600" s="135"/>
      <c r="U600" s="354"/>
      <c r="V600" s="353"/>
      <c r="W600" s="130"/>
      <c r="X600" s="130"/>
      <c r="Y600" s="403"/>
      <c r="Z600" s="404"/>
    </row>
    <row r="601" spans="1:26" s="133" customFormat="1" x14ac:dyDescent="0.25">
      <c r="A601" s="209"/>
      <c r="B601" s="161"/>
      <c r="C601" s="105"/>
      <c r="D601" s="105"/>
      <c r="E601" s="105"/>
      <c r="F601" s="105"/>
      <c r="G601" s="105"/>
      <c r="H601" s="105"/>
      <c r="I601" s="105"/>
      <c r="J601" s="105"/>
      <c r="K601" s="136"/>
      <c r="L601" s="105"/>
      <c r="M601" s="105"/>
      <c r="N601" s="105"/>
      <c r="O601" s="105"/>
      <c r="P601" s="135"/>
      <c r="Q601" s="105"/>
      <c r="R601" s="136"/>
      <c r="S601" s="105"/>
      <c r="T601" s="135"/>
      <c r="U601" s="354"/>
      <c r="V601" s="353"/>
      <c r="W601" s="130"/>
      <c r="X601" s="130"/>
      <c r="Y601" s="403"/>
      <c r="Z601" s="404"/>
    </row>
    <row r="602" spans="1:26" s="133" customFormat="1" x14ac:dyDescent="0.25">
      <c r="A602" s="209"/>
      <c r="B602" s="161"/>
      <c r="C602" s="105"/>
      <c r="D602" s="105"/>
      <c r="E602" s="105"/>
      <c r="F602" s="105"/>
      <c r="G602" s="105"/>
      <c r="H602" s="105"/>
      <c r="I602" s="105"/>
      <c r="J602" s="105"/>
      <c r="K602" s="136"/>
      <c r="L602" s="105"/>
      <c r="M602" s="105"/>
      <c r="N602" s="105"/>
      <c r="O602" s="105"/>
      <c r="P602" s="135"/>
      <c r="Q602" s="105"/>
      <c r="R602" s="136"/>
      <c r="S602" s="105"/>
      <c r="T602" s="135"/>
      <c r="U602" s="354"/>
      <c r="V602" s="353"/>
      <c r="W602" s="130"/>
      <c r="X602" s="130"/>
      <c r="Y602" s="403"/>
      <c r="Z602" s="404"/>
    </row>
    <row r="603" spans="1:26" s="133" customFormat="1" x14ac:dyDescent="0.25">
      <c r="A603" s="209"/>
      <c r="B603" s="161"/>
      <c r="C603" s="105"/>
      <c r="D603" s="105"/>
      <c r="E603" s="105"/>
      <c r="F603" s="105"/>
      <c r="G603" s="105"/>
      <c r="H603" s="105"/>
      <c r="I603" s="105"/>
      <c r="J603" s="105"/>
      <c r="K603" s="136"/>
      <c r="L603" s="105"/>
      <c r="M603" s="105"/>
      <c r="N603" s="105"/>
      <c r="O603" s="105"/>
      <c r="P603" s="135"/>
      <c r="Q603" s="105"/>
      <c r="R603" s="136"/>
      <c r="S603" s="105"/>
      <c r="T603" s="135"/>
      <c r="U603" s="354"/>
      <c r="V603" s="353"/>
      <c r="W603" s="130"/>
      <c r="X603" s="130"/>
      <c r="Y603" s="403"/>
      <c r="Z603" s="404"/>
    </row>
    <row r="604" spans="1:26" s="133" customFormat="1" x14ac:dyDescent="0.25">
      <c r="A604" s="209"/>
      <c r="B604" s="161"/>
      <c r="C604" s="105"/>
      <c r="D604" s="105"/>
      <c r="E604" s="105"/>
      <c r="F604" s="105"/>
      <c r="G604" s="105"/>
      <c r="H604" s="105"/>
      <c r="I604" s="105"/>
      <c r="J604" s="105"/>
      <c r="K604" s="136"/>
      <c r="L604" s="105"/>
      <c r="M604" s="105"/>
      <c r="N604" s="105"/>
      <c r="O604" s="105"/>
      <c r="P604" s="135"/>
      <c r="Q604" s="105"/>
      <c r="R604" s="136"/>
      <c r="S604" s="105"/>
      <c r="T604" s="135"/>
      <c r="U604" s="354"/>
      <c r="V604" s="353"/>
      <c r="W604" s="130"/>
      <c r="X604" s="130"/>
      <c r="Y604" s="403"/>
      <c r="Z604" s="404"/>
    </row>
    <row r="605" spans="1:26" s="133" customFormat="1" x14ac:dyDescent="0.25">
      <c r="A605" s="209"/>
      <c r="B605" s="161"/>
      <c r="C605" s="105"/>
      <c r="D605" s="105"/>
      <c r="E605" s="105"/>
      <c r="F605" s="105"/>
      <c r="G605" s="105"/>
      <c r="H605" s="105"/>
      <c r="I605" s="105"/>
      <c r="J605" s="105"/>
      <c r="K605" s="136"/>
      <c r="L605" s="105"/>
      <c r="M605" s="105"/>
      <c r="N605" s="105"/>
      <c r="O605" s="105"/>
      <c r="P605" s="135"/>
      <c r="Q605" s="105"/>
      <c r="R605" s="136"/>
      <c r="S605" s="105"/>
      <c r="T605" s="135"/>
      <c r="U605" s="354"/>
      <c r="V605" s="353"/>
      <c r="W605" s="130"/>
      <c r="X605" s="130"/>
      <c r="Y605" s="403"/>
      <c r="Z605" s="404"/>
    </row>
    <row r="606" spans="1:26" s="133" customFormat="1" x14ac:dyDescent="0.25">
      <c r="A606" s="209"/>
      <c r="B606" s="161"/>
      <c r="C606" s="105"/>
      <c r="D606" s="105"/>
      <c r="E606" s="105"/>
      <c r="F606" s="105"/>
      <c r="G606" s="105"/>
      <c r="H606" s="105"/>
      <c r="I606" s="105"/>
      <c r="J606" s="105"/>
      <c r="K606" s="136"/>
      <c r="L606" s="105"/>
      <c r="M606" s="105"/>
      <c r="N606" s="105"/>
      <c r="O606" s="105"/>
      <c r="P606" s="135"/>
      <c r="Q606" s="105"/>
      <c r="R606" s="136"/>
      <c r="S606" s="105"/>
      <c r="T606" s="135"/>
      <c r="U606" s="354"/>
      <c r="V606" s="353"/>
      <c r="W606" s="130"/>
      <c r="X606" s="130"/>
      <c r="Y606" s="403"/>
      <c r="Z606" s="404"/>
    </row>
    <row r="607" spans="1:26" s="133" customFormat="1" x14ac:dyDescent="0.25">
      <c r="A607" s="209"/>
      <c r="B607" s="161"/>
      <c r="C607" s="105"/>
      <c r="D607" s="105"/>
      <c r="E607" s="105"/>
      <c r="F607" s="105"/>
      <c r="G607" s="105"/>
      <c r="H607" s="105"/>
      <c r="I607" s="105"/>
      <c r="J607" s="105"/>
      <c r="K607" s="136"/>
      <c r="L607" s="105"/>
      <c r="M607" s="105"/>
      <c r="N607" s="105"/>
      <c r="O607" s="105"/>
      <c r="P607" s="135"/>
      <c r="Q607" s="105"/>
      <c r="R607" s="136"/>
      <c r="S607" s="105"/>
      <c r="T607" s="135"/>
      <c r="U607" s="354"/>
      <c r="V607" s="353"/>
      <c r="W607" s="130"/>
      <c r="X607" s="130"/>
      <c r="Y607" s="403"/>
      <c r="Z607" s="404"/>
    </row>
    <row r="608" spans="1:26" s="133" customFormat="1" x14ac:dyDescent="0.25">
      <c r="A608" s="209"/>
      <c r="B608" s="161"/>
      <c r="C608" s="105"/>
      <c r="D608" s="105"/>
      <c r="E608" s="105"/>
      <c r="F608" s="105"/>
      <c r="G608" s="105"/>
      <c r="H608" s="105"/>
      <c r="I608" s="105"/>
      <c r="J608" s="105"/>
      <c r="K608" s="136"/>
      <c r="L608" s="105"/>
      <c r="M608" s="105"/>
      <c r="N608" s="105"/>
      <c r="O608" s="105"/>
      <c r="P608" s="135"/>
      <c r="Q608" s="105"/>
      <c r="R608" s="136"/>
      <c r="S608" s="105"/>
      <c r="T608" s="135"/>
      <c r="U608" s="354"/>
      <c r="V608" s="353"/>
      <c r="W608" s="130"/>
      <c r="X608" s="130"/>
      <c r="Y608" s="403"/>
      <c r="Z608" s="404"/>
    </row>
    <row r="609" spans="1:26" s="133" customFormat="1" x14ac:dyDescent="0.25">
      <c r="A609" s="209"/>
      <c r="B609" s="161"/>
      <c r="C609" s="105"/>
      <c r="D609" s="105"/>
      <c r="E609" s="105"/>
      <c r="F609" s="105"/>
      <c r="G609" s="105"/>
      <c r="H609" s="105"/>
      <c r="I609" s="105"/>
      <c r="J609" s="105"/>
      <c r="K609" s="136"/>
      <c r="L609" s="105"/>
      <c r="M609" s="105"/>
      <c r="N609" s="105"/>
      <c r="O609" s="105"/>
      <c r="P609" s="135"/>
      <c r="Q609" s="105"/>
      <c r="R609" s="136"/>
      <c r="S609" s="105"/>
      <c r="T609" s="135"/>
      <c r="U609" s="354"/>
      <c r="V609" s="353"/>
      <c r="W609" s="130"/>
      <c r="X609" s="130"/>
      <c r="Y609" s="403"/>
      <c r="Z609" s="404"/>
    </row>
    <row r="610" spans="1:26" s="133" customFormat="1" x14ac:dyDescent="0.25">
      <c r="A610" s="209"/>
      <c r="B610" s="161"/>
      <c r="C610" s="105"/>
      <c r="D610" s="105"/>
      <c r="E610" s="105"/>
      <c r="F610" s="105"/>
      <c r="G610" s="105"/>
      <c r="H610" s="105"/>
      <c r="I610" s="105"/>
      <c r="J610" s="105"/>
      <c r="K610" s="136"/>
      <c r="L610" s="105"/>
      <c r="M610" s="105"/>
      <c r="N610" s="105"/>
      <c r="O610" s="105"/>
      <c r="P610" s="135"/>
      <c r="Q610" s="105"/>
      <c r="R610" s="136"/>
      <c r="S610" s="105"/>
      <c r="T610" s="135"/>
      <c r="U610" s="354"/>
      <c r="V610" s="353"/>
      <c r="W610" s="130"/>
      <c r="X610" s="130"/>
      <c r="Y610" s="403"/>
      <c r="Z610" s="404"/>
    </row>
    <row r="611" spans="1:26" s="133" customFormat="1" x14ac:dyDescent="0.25">
      <c r="A611" s="209"/>
      <c r="B611" s="161"/>
      <c r="C611" s="105"/>
      <c r="D611" s="105"/>
      <c r="E611" s="105"/>
      <c r="F611" s="105"/>
      <c r="G611" s="105"/>
      <c r="H611" s="105"/>
      <c r="I611" s="105"/>
      <c r="J611" s="105"/>
      <c r="K611" s="136"/>
      <c r="L611" s="105"/>
      <c r="M611" s="105"/>
      <c r="N611" s="105"/>
      <c r="O611" s="105"/>
      <c r="P611" s="135"/>
      <c r="Q611" s="105"/>
      <c r="R611" s="136"/>
      <c r="S611" s="105"/>
      <c r="T611" s="135"/>
      <c r="U611" s="354"/>
      <c r="V611" s="353"/>
      <c r="W611" s="130"/>
      <c r="X611" s="130"/>
      <c r="Y611" s="403"/>
      <c r="Z611" s="404"/>
    </row>
    <row r="612" spans="1:26" s="133" customFormat="1" x14ac:dyDescent="0.25">
      <c r="A612" s="209"/>
      <c r="B612" s="161"/>
      <c r="C612" s="105"/>
      <c r="D612" s="105"/>
      <c r="E612" s="105"/>
      <c r="F612" s="105"/>
      <c r="G612" s="105"/>
      <c r="H612" s="105"/>
      <c r="I612" s="105"/>
      <c r="J612" s="105"/>
      <c r="K612" s="136"/>
      <c r="L612" s="105"/>
      <c r="M612" s="105"/>
      <c r="N612" s="105"/>
      <c r="O612" s="105"/>
      <c r="P612" s="135"/>
      <c r="Q612" s="105"/>
      <c r="R612" s="136"/>
      <c r="S612" s="105"/>
      <c r="T612" s="135"/>
      <c r="U612" s="354"/>
      <c r="V612" s="353"/>
      <c r="W612" s="130"/>
      <c r="X612" s="130"/>
      <c r="Y612" s="403"/>
      <c r="Z612" s="404"/>
    </row>
    <row r="613" spans="1:26" s="133" customFormat="1" x14ac:dyDescent="0.25">
      <c r="A613" s="209"/>
      <c r="B613" s="161"/>
      <c r="C613" s="105"/>
      <c r="D613" s="105"/>
      <c r="E613" s="105"/>
      <c r="F613" s="105"/>
      <c r="G613" s="105"/>
      <c r="H613" s="105"/>
      <c r="I613" s="105"/>
      <c r="J613" s="105"/>
      <c r="K613" s="136"/>
      <c r="L613" s="105"/>
      <c r="M613" s="105"/>
      <c r="N613" s="105"/>
      <c r="O613" s="105"/>
      <c r="P613" s="135"/>
      <c r="Q613" s="105"/>
      <c r="R613" s="136"/>
      <c r="S613" s="105"/>
      <c r="T613" s="135"/>
      <c r="U613" s="354"/>
      <c r="V613" s="353"/>
      <c r="W613" s="130"/>
      <c r="X613" s="130"/>
      <c r="Y613" s="403"/>
      <c r="Z613" s="404"/>
    </row>
    <row r="614" spans="1:26" s="133" customFormat="1" x14ac:dyDescent="0.25">
      <c r="A614" s="209"/>
      <c r="B614" s="161"/>
      <c r="C614" s="105"/>
      <c r="D614" s="105"/>
      <c r="E614" s="105"/>
      <c r="F614" s="105"/>
      <c r="G614" s="105"/>
      <c r="H614" s="105"/>
      <c r="I614" s="105"/>
      <c r="J614" s="105"/>
      <c r="K614" s="136"/>
      <c r="L614" s="105"/>
      <c r="M614" s="105"/>
      <c r="N614" s="105"/>
      <c r="O614" s="105"/>
      <c r="P614" s="135"/>
      <c r="Q614" s="105"/>
      <c r="R614" s="136"/>
      <c r="S614" s="105"/>
      <c r="T614" s="135"/>
      <c r="U614" s="354"/>
      <c r="V614" s="353"/>
      <c r="W614" s="130"/>
      <c r="X614" s="130"/>
      <c r="Y614" s="403"/>
      <c r="Z614" s="404"/>
    </row>
    <row r="615" spans="1:26" s="133" customFormat="1" x14ac:dyDescent="0.25">
      <c r="A615" s="209"/>
      <c r="B615" s="161"/>
      <c r="C615" s="105"/>
      <c r="D615" s="105"/>
      <c r="E615" s="105"/>
      <c r="F615" s="105"/>
      <c r="G615" s="105"/>
      <c r="H615" s="105"/>
      <c r="I615" s="105"/>
      <c r="J615" s="105"/>
      <c r="K615" s="136"/>
      <c r="L615" s="105"/>
      <c r="M615" s="105"/>
      <c r="N615" s="105"/>
      <c r="O615" s="105"/>
      <c r="P615" s="135"/>
      <c r="Q615" s="105"/>
      <c r="R615" s="136"/>
      <c r="S615" s="105"/>
      <c r="T615" s="135"/>
      <c r="U615" s="354"/>
      <c r="V615" s="353"/>
      <c r="W615" s="130"/>
      <c r="X615" s="130"/>
      <c r="Y615" s="403"/>
      <c r="Z615" s="404"/>
    </row>
    <row r="616" spans="1:26" s="133" customFormat="1" x14ac:dyDescent="0.25">
      <c r="A616" s="209"/>
      <c r="B616" s="161"/>
      <c r="C616" s="105"/>
      <c r="D616" s="105"/>
      <c r="E616" s="105"/>
      <c r="F616" s="105"/>
      <c r="G616" s="105"/>
      <c r="H616" s="105"/>
      <c r="I616" s="105"/>
      <c r="J616" s="105"/>
      <c r="K616" s="136"/>
      <c r="L616" s="105"/>
      <c r="M616" s="105"/>
      <c r="N616" s="105"/>
      <c r="O616" s="105"/>
      <c r="P616" s="135"/>
      <c r="Q616" s="105"/>
      <c r="R616" s="136"/>
      <c r="S616" s="105"/>
      <c r="T616" s="135"/>
      <c r="U616" s="354"/>
      <c r="V616" s="353"/>
      <c r="W616" s="130"/>
      <c r="X616" s="130"/>
      <c r="Y616" s="403"/>
      <c r="Z616" s="404"/>
    </row>
    <row r="617" spans="1:26" s="133" customFormat="1" x14ac:dyDescent="0.25">
      <c r="A617" s="209"/>
      <c r="B617" s="161"/>
      <c r="C617" s="105"/>
      <c r="D617" s="105"/>
      <c r="E617" s="105"/>
      <c r="F617" s="105"/>
      <c r="G617" s="105"/>
      <c r="H617" s="105"/>
      <c r="I617" s="105"/>
      <c r="J617" s="105"/>
      <c r="K617" s="136"/>
      <c r="L617" s="105"/>
      <c r="M617" s="105"/>
      <c r="N617" s="105"/>
      <c r="O617" s="105"/>
      <c r="P617" s="135"/>
      <c r="Q617" s="105"/>
      <c r="R617" s="136"/>
      <c r="S617" s="105"/>
      <c r="T617" s="135"/>
      <c r="U617" s="354"/>
      <c r="V617" s="353"/>
      <c r="W617" s="130"/>
      <c r="X617" s="130"/>
      <c r="Y617" s="403"/>
      <c r="Z617" s="404"/>
    </row>
    <row r="618" spans="1:26" s="133" customFormat="1" x14ac:dyDescent="0.25">
      <c r="A618" s="209"/>
      <c r="B618" s="161"/>
      <c r="C618" s="105"/>
      <c r="D618" s="105"/>
      <c r="E618" s="105"/>
      <c r="F618" s="105"/>
      <c r="G618" s="105"/>
      <c r="H618" s="105"/>
      <c r="I618" s="105"/>
      <c r="J618" s="105"/>
      <c r="K618" s="136"/>
      <c r="L618" s="105"/>
      <c r="M618" s="105"/>
      <c r="N618" s="105"/>
      <c r="O618" s="105"/>
      <c r="P618" s="135"/>
      <c r="Q618" s="105"/>
      <c r="R618" s="136"/>
      <c r="S618" s="105"/>
      <c r="T618" s="135"/>
      <c r="U618" s="354"/>
      <c r="V618" s="353"/>
      <c r="W618" s="130"/>
      <c r="X618" s="130"/>
      <c r="Y618" s="403"/>
      <c r="Z618" s="404"/>
    </row>
    <row r="619" spans="1:26" s="133" customFormat="1" x14ac:dyDescent="0.25">
      <c r="A619" s="209"/>
      <c r="B619" s="161"/>
      <c r="C619" s="105"/>
      <c r="D619" s="105"/>
      <c r="E619" s="105"/>
      <c r="F619" s="105"/>
      <c r="G619" s="105"/>
      <c r="H619" s="105"/>
      <c r="I619" s="105"/>
      <c r="J619" s="105"/>
      <c r="K619" s="136"/>
      <c r="L619" s="105"/>
      <c r="M619" s="105"/>
      <c r="N619" s="105"/>
      <c r="O619" s="105"/>
      <c r="P619" s="135"/>
      <c r="Q619" s="105"/>
      <c r="R619" s="136"/>
      <c r="S619" s="105"/>
      <c r="T619" s="135"/>
      <c r="U619" s="354"/>
      <c r="V619" s="353"/>
      <c r="W619" s="130"/>
      <c r="X619" s="130"/>
      <c r="Y619" s="403"/>
      <c r="Z619" s="404"/>
    </row>
    <row r="620" spans="1:26" s="133" customFormat="1" x14ac:dyDescent="0.25">
      <c r="A620" s="209"/>
      <c r="B620" s="161"/>
      <c r="C620" s="105"/>
      <c r="D620" s="105"/>
      <c r="E620" s="105"/>
      <c r="F620" s="105"/>
      <c r="G620" s="105"/>
      <c r="H620" s="105"/>
      <c r="I620" s="105"/>
      <c r="J620" s="105"/>
      <c r="K620" s="136"/>
      <c r="L620" s="105"/>
      <c r="M620" s="105"/>
      <c r="N620" s="105"/>
      <c r="O620" s="105"/>
      <c r="P620" s="135"/>
      <c r="Q620" s="105"/>
      <c r="R620" s="136"/>
      <c r="S620" s="105"/>
      <c r="T620" s="135"/>
      <c r="U620" s="354"/>
      <c r="V620" s="353"/>
      <c r="W620" s="130"/>
      <c r="X620" s="130"/>
      <c r="Y620" s="403"/>
      <c r="Z620" s="404"/>
    </row>
    <row r="621" spans="1:26" s="133" customFormat="1" x14ac:dyDescent="0.25">
      <c r="A621" s="209"/>
      <c r="B621" s="161"/>
      <c r="C621" s="105"/>
      <c r="D621" s="105"/>
      <c r="E621" s="105"/>
      <c r="F621" s="105"/>
      <c r="G621" s="105"/>
      <c r="H621" s="105"/>
      <c r="I621" s="105"/>
      <c r="J621" s="105"/>
      <c r="K621" s="136"/>
      <c r="L621" s="105"/>
      <c r="M621" s="105"/>
      <c r="N621" s="105"/>
      <c r="O621" s="105"/>
      <c r="P621" s="135"/>
      <c r="Q621" s="105"/>
      <c r="R621" s="136"/>
      <c r="S621" s="105"/>
      <c r="T621" s="135"/>
      <c r="U621" s="354"/>
      <c r="V621" s="353"/>
      <c r="W621" s="130"/>
      <c r="X621" s="130"/>
      <c r="Y621" s="403"/>
      <c r="Z621" s="404"/>
    </row>
    <row r="622" spans="1:26" s="133" customFormat="1" x14ac:dyDescent="0.25">
      <c r="A622" s="209"/>
      <c r="B622" s="161"/>
      <c r="C622" s="105"/>
      <c r="D622" s="105"/>
      <c r="E622" s="105"/>
      <c r="F622" s="105"/>
      <c r="G622" s="105"/>
      <c r="H622" s="105"/>
      <c r="I622" s="105"/>
      <c r="J622" s="105"/>
      <c r="K622" s="136"/>
      <c r="L622" s="105"/>
      <c r="M622" s="105"/>
      <c r="N622" s="105"/>
      <c r="O622" s="105"/>
      <c r="P622" s="135"/>
      <c r="Q622" s="105"/>
      <c r="R622" s="136"/>
      <c r="S622" s="105"/>
      <c r="T622" s="135"/>
      <c r="U622" s="354"/>
      <c r="V622" s="353"/>
      <c r="W622" s="130"/>
      <c r="X622" s="130"/>
      <c r="Y622" s="403"/>
      <c r="Z622" s="404"/>
    </row>
    <row r="623" spans="1:26" s="133" customFormat="1" x14ac:dyDescent="0.25">
      <c r="A623" s="209"/>
      <c r="B623" s="161"/>
      <c r="C623" s="105"/>
      <c r="D623" s="105"/>
      <c r="E623" s="105"/>
      <c r="F623" s="105"/>
      <c r="G623" s="105"/>
      <c r="H623" s="105"/>
      <c r="I623" s="105"/>
      <c r="J623" s="105"/>
      <c r="K623" s="136"/>
      <c r="L623" s="105"/>
      <c r="M623" s="105"/>
      <c r="N623" s="105"/>
      <c r="O623" s="105"/>
      <c r="P623" s="135"/>
      <c r="Q623" s="105"/>
      <c r="R623" s="136"/>
      <c r="S623" s="105"/>
      <c r="T623" s="135"/>
      <c r="U623" s="354"/>
      <c r="V623" s="353"/>
      <c r="W623" s="130"/>
      <c r="X623" s="130"/>
      <c r="Y623" s="403"/>
      <c r="Z623" s="404"/>
    </row>
    <row r="624" spans="1:26" s="133" customFormat="1" x14ac:dyDescent="0.25">
      <c r="A624" s="209"/>
      <c r="B624" s="161"/>
      <c r="C624" s="105"/>
      <c r="D624" s="105"/>
      <c r="E624" s="105"/>
      <c r="F624" s="105"/>
      <c r="G624" s="105"/>
      <c r="H624" s="105"/>
      <c r="I624" s="105"/>
      <c r="J624" s="105"/>
      <c r="K624" s="136"/>
      <c r="L624" s="105"/>
      <c r="M624" s="105"/>
      <c r="N624" s="105"/>
      <c r="O624" s="105"/>
      <c r="P624" s="135"/>
      <c r="Q624" s="105"/>
      <c r="R624" s="136"/>
      <c r="S624" s="105"/>
      <c r="T624" s="135"/>
      <c r="U624" s="354"/>
      <c r="V624" s="353"/>
      <c r="W624" s="130"/>
      <c r="X624" s="130"/>
      <c r="Y624" s="403"/>
      <c r="Z624" s="404"/>
    </row>
    <row r="625" spans="1:26" s="133" customFormat="1" x14ac:dyDescent="0.25">
      <c r="A625" s="209"/>
      <c r="B625" s="161"/>
      <c r="C625" s="105"/>
      <c r="D625" s="105"/>
      <c r="E625" s="105"/>
      <c r="F625" s="105"/>
      <c r="G625" s="105"/>
      <c r="H625" s="105"/>
      <c r="I625" s="105"/>
      <c r="J625" s="105"/>
      <c r="K625" s="136"/>
      <c r="L625" s="105"/>
      <c r="M625" s="105"/>
      <c r="N625" s="105"/>
      <c r="O625" s="105"/>
      <c r="P625" s="135"/>
      <c r="Q625" s="105"/>
      <c r="R625" s="136"/>
      <c r="S625" s="105"/>
      <c r="T625" s="135"/>
      <c r="U625" s="354"/>
      <c r="V625" s="353"/>
      <c r="W625" s="130"/>
      <c r="X625" s="130"/>
      <c r="Y625" s="403"/>
      <c r="Z625" s="404"/>
    </row>
    <row r="626" spans="1:26" s="133" customFormat="1" x14ac:dyDescent="0.25">
      <c r="A626" s="209"/>
      <c r="B626" s="161"/>
      <c r="C626" s="105"/>
      <c r="D626" s="105"/>
      <c r="E626" s="105"/>
      <c r="F626" s="105"/>
      <c r="G626" s="105"/>
      <c r="H626" s="105"/>
      <c r="I626" s="105"/>
      <c r="J626" s="105"/>
      <c r="K626" s="136"/>
      <c r="L626" s="105"/>
      <c r="M626" s="105"/>
      <c r="N626" s="105"/>
      <c r="O626" s="105"/>
      <c r="P626" s="135"/>
      <c r="Q626" s="105"/>
      <c r="R626" s="136"/>
      <c r="S626" s="105"/>
      <c r="T626" s="135"/>
      <c r="U626" s="354"/>
      <c r="V626" s="353"/>
      <c r="W626" s="130"/>
      <c r="X626" s="130"/>
      <c r="Y626" s="403"/>
      <c r="Z626" s="404"/>
    </row>
    <row r="627" spans="1:26" s="133" customFormat="1" x14ac:dyDescent="0.25">
      <c r="A627" s="209"/>
      <c r="B627" s="161"/>
      <c r="C627" s="105"/>
      <c r="D627" s="105"/>
      <c r="E627" s="105"/>
      <c r="F627" s="105"/>
      <c r="G627" s="105"/>
      <c r="H627" s="105"/>
      <c r="I627" s="105"/>
      <c r="J627" s="105"/>
      <c r="K627" s="136"/>
      <c r="L627" s="105"/>
      <c r="M627" s="105"/>
      <c r="N627" s="105"/>
      <c r="O627" s="105"/>
      <c r="P627" s="135"/>
      <c r="Q627" s="105"/>
      <c r="R627" s="136"/>
      <c r="S627" s="105"/>
      <c r="T627" s="135"/>
      <c r="U627" s="354"/>
      <c r="V627" s="353"/>
      <c r="W627" s="130"/>
      <c r="X627" s="130"/>
      <c r="Y627" s="403"/>
      <c r="Z627" s="404"/>
    </row>
    <row r="628" spans="1:26" s="133" customFormat="1" x14ac:dyDescent="0.25">
      <c r="A628" s="209"/>
      <c r="B628" s="161"/>
      <c r="C628" s="105"/>
      <c r="D628" s="105"/>
      <c r="E628" s="105"/>
      <c r="F628" s="105"/>
      <c r="G628" s="105"/>
      <c r="H628" s="105"/>
      <c r="I628" s="105"/>
      <c r="J628" s="105"/>
      <c r="K628" s="136"/>
      <c r="L628" s="105"/>
      <c r="M628" s="105"/>
      <c r="N628" s="105"/>
      <c r="O628" s="105"/>
      <c r="P628" s="135"/>
      <c r="Q628" s="105"/>
      <c r="R628" s="136"/>
      <c r="S628" s="105"/>
      <c r="T628" s="135"/>
      <c r="U628" s="354"/>
      <c r="V628" s="353"/>
      <c r="W628" s="130"/>
      <c r="X628" s="130"/>
      <c r="Y628" s="403"/>
      <c r="Z628" s="404"/>
    </row>
    <row r="629" spans="1:26" s="133" customFormat="1" x14ac:dyDescent="0.25">
      <c r="A629" s="209"/>
      <c r="B629" s="161"/>
      <c r="C629" s="105"/>
      <c r="D629" s="105"/>
      <c r="E629" s="105"/>
      <c r="F629" s="105"/>
      <c r="G629" s="105"/>
      <c r="H629" s="105"/>
      <c r="I629" s="105"/>
      <c r="J629" s="105"/>
      <c r="K629" s="136"/>
      <c r="L629" s="105"/>
      <c r="M629" s="105"/>
      <c r="N629" s="105"/>
      <c r="O629" s="105"/>
      <c r="P629" s="135"/>
      <c r="Q629" s="105"/>
      <c r="R629" s="136"/>
      <c r="S629" s="105"/>
      <c r="T629" s="135"/>
      <c r="U629" s="354"/>
      <c r="V629" s="353"/>
      <c r="W629" s="130"/>
      <c r="X629" s="130"/>
      <c r="Y629" s="403"/>
      <c r="Z629" s="404"/>
    </row>
    <row r="630" spans="1:26" s="133" customFormat="1" x14ac:dyDescent="0.25">
      <c r="A630" s="209"/>
      <c r="B630" s="161"/>
      <c r="C630" s="105"/>
      <c r="D630" s="105"/>
      <c r="E630" s="105"/>
      <c r="F630" s="105"/>
      <c r="G630" s="105"/>
      <c r="H630" s="105"/>
      <c r="I630" s="105"/>
      <c r="J630" s="105"/>
      <c r="K630" s="136"/>
      <c r="L630" s="105"/>
      <c r="M630" s="105"/>
      <c r="N630" s="105"/>
      <c r="O630" s="105"/>
      <c r="P630" s="135"/>
      <c r="Q630" s="105"/>
      <c r="R630" s="136"/>
      <c r="S630" s="105"/>
      <c r="T630" s="135"/>
      <c r="U630" s="354"/>
      <c r="V630" s="353"/>
      <c r="W630" s="130"/>
      <c r="X630" s="130"/>
      <c r="Y630" s="403"/>
      <c r="Z630" s="404"/>
    </row>
    <row r="631" spans="1:26" s="133" customFormat="1" x14ac:dyDescent="0.25">
      <c r="A631" s="209"/>
      <c r="B631" s="161"/>
      <c r="C631" s="105"/>
      <c r="D631" s="105"/>
      <c r="E631" s="105"/>
      <c r="F631" s="105"/>
      <c r="G631" s="105"/>
      <c r="H631" s="105"/>
      <c r="I631" s="105"/>
      <c r="J631" s="105"/>
      <c r="K631" s="136"/>
      <c r="L631" s="105"/>
      <c r="M631" s="105"/>
      <c r="N631" s="105"/>
      <c r="O631" s="105"/>
      <c r="P631" s="135"/>
      <c r="Q631" s="105"/>
      <c r="R631" s="136"/>
      <c r="S631" s="105"/>
      <c r="T631" s="135"/>
      <c r="U631" s="354"/>
      <c r="V631" s="353"/>
      <c r="W631" s="130"/>
      <c r="X631" s="130"/>
      <c r="Y631" s="403"/>
      <c r="Z631" s="404"/>
    </row>
    <row r="632" spans="1:26" s="133" customFormat="1" x14ac:dyDescent="0.25">
      <c r="A632" s="209"/>
      <c r="B632" s="161"/>
      <c r="C632" s="105"/>
      <c r="D632" s="105"/>
      <c r="E632" s="105"/>
      <c r="F632" s="105"/>
      <c r="G632" s="105"/>
      <c r="H632" s="105"/>
      <c r="I632" s="105"/>
      <c r="J632" s="105"/>
      <c r="K632" s="136"/>
      <c r="L632" s="105"/>
      <c r="M632" s="105"/>
      <c r="N632" s="105"/>
      <c r="O632" s="105"/>
      <c r="P632" s="135"/>
      <c r="Q632" s="105"/>
      <c r="R632" s="136"/>
      <c r="S632" s="105"/>
      <c r="T632" s="135"/>
      <c r="U632" s="354"/>
      <c r="V632" s="353"/>
      <c r="W632" s="130"/>
      <c r="X632" s="130"/>
      <c r="Y632" s="403"/>
      <c r="Z632" s="404"/>
    </row>
    <row r="633" spans="1:26" s="133" customFormat="1" x14ac:dyDescent="0.25">
      <c r="A633" s="209"/>
      <c r="B633" s="161"/>
      <c r="C633" s="105"/>
      <c r="D633" s="105"/>
      <c r="E633" s="105"/>
      <c r="F633" s="105"/>
      <c r="G633" s="105"/>
      <c r="H633" s="105"/>
      <c r="I633" s="105"/>
      <c r="J633" s="105"/>
      <c r="K633" s="136"/>
      <c r="L633" s="105"/>
      <c r="M633" s="105"/>
      <c r="N633" s="105"/>
      <c r="O633" s="105"/>
      <c r="P633" s="135"/>
      <c r="Q633" s="105"/>
      <c r="R633" s="136"/>
      <c r="S633" s="105"/>
      <c r="T633" s="135"/>
      <c r="U633" s="354"/>
      <c r="V633" s="353"/>
      <c r="W633" s="130"/>
      <c r="X633" s="130"/>
      <c r="Y633" s="403"/>
      <c r="Z633" s="404"/>
    </row>
    <row r="634" spans="1:26" s="133" customFormat="1" x14ac:dyDescent="0.25">
      <c r="A634" s="209"/>
      <c r="B634" s="161"/>
      <c r="C634" s="105"/>
      <c r="D634" s="105"/>
      <c r="E634" s="105"/>
      <c r="F634" s="105"/>
      <c r="G634" s="105"/>
      <c r="H634" s="105"/>
      <c r="I634" s="105"/>
      <c r="J634" s="105"/>
      <c r="K634" s="136"/>
      <c r="L634" s="105"/>
      <c r="M634" s="105"/>
      <c r="N634" s="105"/>
      <c r="O634" s="105"/>
      <c r="P634" s="135"/>
      <c r="Q634" s="105"/>
      <c r="R634" s="136"/>
      <c r="S634" s="105"/>
      <c r="T634" s="135"/>
      <c r="U634" s="354"/>
      <c r="V634" s="353"/>
      <c r="W634" s="130"/>
      <c r="X634" s="130"/>
      <c r="Y634" s="403"/>
      <c r="Z634" s="404"/>
    </row>
    <row r="635" spans="1:26" s="133" customFormat="1" x14ac:dyDescent="0.25">
      <c r="A635" s="209"/>
      <c r="B635" s="161"/>
      <c r="C635" s="105"/>
      <c r="D635" s="105"/>
      <c r="E635" s="105"/>
      <c r="F635" s="105"/>
      <c r="G635" s="105"/>
      <c r="H635" s="105"/>
      <c r="I635" s="105"/>
      <c r="J635" s="105"/>
      <c r="K635" s="136"/>
      <c r="L635" s="105"/>
      <c r="M635" s="105"/>
      <c r="N635" s="105"/>
      <c r="O635" s="105"/>
      <c r="P635" s="135"/>
      <c r="Q635" s="105"/>
      <c r="R635" s="136"/>
      <c r="S635" s="105"/>
      <c r="T635" s="135"/>
      <c r="U635" s="354"/>
      <c r="V635" s="353"/>
      <c r="W635" s="130"/>
      <c r="X635" s="130"/>
      <c r="Y635" s="403"/>
      <c r="Z635" s="404"/>
    </row>
    <row r="636" spans="1:26" s="133" customFormat="1" x14ac:dyDescent="0.25">
      <c r="A636" s="209"/>
      <c r="B636" s="161"/>
      <c r="C636" s="105"/>
      <c r="D636" s="105"/>
      <c r="E636" s="105"/>
      <c r="F636" s="105"/>
      <c r="G636" s="105"/>
      <c r="H636" s="105"/>
      <c r="I636" s="105"/>
      <c r="J636" s="105"/>
      <c r="K636" s="136"/>
      <c r="L636" s="105"/>
      <c r="M636" s="105"/>
      <c r="N636" s="105"/>
      <c r="O636" s="105"/>
      <c r="P636" s="135"/>
      <c r="Q636" s="105"/>
      <c r="R636" s="136"/>
      <c r="S636" s="105"/>
      <c r="T636" s="135"/>
      <c r="U636" s="354"/>
      <c r="V636" s="353"/>
      <c r="W636" s="130"/>
      <c r="X636" s="130"/>
      <c r="Y636" s="403"/>
      <c r="Z636" s="404"/>
    </row>
    <row r="637" spans="1:26" s="133" customFormat="1" x14ac:dyDescent="0.25">
      <c r="A637" s="209"/>
      <c r="B637" s="161"/>
      <c r="C637" s="105"/>
      <c r="D637" s="105"/>
      <c r="E637" s="105"/>
      <c r="F637" s="105"/>
      <c r="G637" s="105"/>
      <c r="H637" s="105"/>
      <c r="I637" s="105"/>
      <c r="J637" s="105"/>
      <c r="K637" s="136"/>
      <c r="L637" s="105"/>
      <c r="M637" s="105"/>
      <c r="N637" s="105"/>
      <c r="O637" s="105"/>
      <c r="P637" s="135"/>
      <c r="Q637" s="105"/>
      <c r="R637" s="136"/>
      <c r="S637" s="105"/>
      <c r="T637" s="135"/>
      <c r="U637" s="354"/>
      <c r="V637" s="353"/>
      <c r="W637" s="130"/>
      <c r="X637" s="130"/>
      <c r="Y637" s="403"/>
      <c r="Z637" s="404"/>
    </row>
    <row r="638" spans="1:26" s="133" customFormat="1" x14ac:dyDescent="0.25">
      <c r="A638" s="209"/>
      <c r="B638" s="161"/>
      <c r="C638" s="105"/>
      <c r="D638" s="105"/>
      <c r="E638" s="105"/>
      <c r="F638" s="105"/>
      <c r="G638" s="105"/>
      <c r="H638" s="105"/>
      <c r="I638" s="105"/>
      <c r="J638" s="105"/>
      <c r="K638" s="136"/>
      <c r="L638" s="105"/>
      <c r="M638" s="105"/>
      <c r="N638" s="105"/>
      <c r="O638" s="105"/>
      <c r="P638" s="135"/>
      <c r="Q638" s="105"/>
      <c r="R638" s="136"/>
      <c r="S638" s="105"/>
      <c r="T638" s="135"/>
      <c r="U638" s="354"/>
      <c r="V638" s="353"/>
      <c r="W638" s="130"/>
      <c r="X638" s="130"/>
      <c r="Y638" s="403"/>
      <c r="Z638" s="404"/>
    </row>
    <row r="639" spans="1:26" s="133" customFormat="1" x14ac:dyDescent="0.25">
      <c r="A639" s="209"/>
      <c r="B639" s="161"/>
      <c r="C639" s="105"/>
      <c r="D639" s="105"/>
      <c r="E639" s="105"/>
      <c r="F639" s="105"/>
      <c r="G639" s="105"/>
      <c r="H639" s="105"/>
      <c r="I639" s="105"/>
      <c r="J639" s="105"/>
      <c r="K639" s="136"/>
      <c r="L639" s="105"/>
      <c r="M639" s="105"/>
      <c r="N639" s="105"/>
      <c r="O639" s="105"/>
      <c r="P639" s="135"/>
      <c r="Q639" s="105"/>
      <c r="R639" s="136"/>
      <c r="S639" s="105"/>
      <c r="T639" s="135"/>
      <c r="U639" s="354"/>
      <c r="V639" s="353"/>
      <c r="W639" s="130"/>
      <c r="X639" s="130"/>
      <c r="Y639" s="403"/>
      <c r="Z639" s="404"/>
    </row>
    <row r="640" spans="1:26" s="133" customFormat="1" x14ac:dyDescent="0.25">
      <c r="A640" s="209"/>
      <c r="B640" s="161"/>
      <c r="C640" s="105"/>
      <c r="D640" s="105"/>
      <c r="E640" s="105"/>
      <c r="F640" s="105"/>
      <c r="G640" s="105"/>
      <c r="H640" s="105"/>
      <c r="I640" s="105"/>
      <c r="J640" s="105"/>
      <c r="K640" s="136"/>
      <c r="L640" s="105"/>
      <c r="M640" s="105"/>
      <c r="N640" s="105"/>
      <c r="O640" s="105"/>
      <c r="P640" s="135"/>
      <c r="Q640" s="105"/>
      <c r="R640" s="136"/>
      <c r="S640" s="105"/>
      <c r="T640" s="135"/>
      <c r="U640" s="354"/>
      <c r="V640" s="353"/>
      <c r="W640" s="130"/>
      <c r="X640" s="130"/>
      <c r="Y640" s="403"/>
      <c r="Z640" s="404"/>
    </row>
    <row r="641" spans="1:26" s="133" customFormat="1" x14ac:dyDescent="0.25">
      <c r="A641" s="209"/>
      <c r="B641" s="161"/>
      <c r="C641" s="105"/>
      <c r="D641" s="105"/>
      <c r="E641" s="105"/>
      <c r="F641" s="105"/>
      <c r="G641" s="105"/>
      <c r="H641" s="105"/>
      <c r="I641" s="105"/>
      <c r="J641" s="105"/>
      <c r="K641" s="136"/>
      <c r="L641" s="105"/>
      <c r="M641" s="105"/>
      <c r="N641" s="105"/>
      <c r="O641" s="105"/>
      <c r="P641" s="135"/>
      <c r="Q641" s="105"/>
      <c r="R641" s="136"/>
      <c r="S641" s="105"/>
      <c r="T641" s="135"/>
      <c r="U641" s="354"/>
      <c r="V641" s="353"/>
      <c r="W641" s="130"/>
      <c r="X641" s="130"/>
      <c r="Y641" s="403"/>
      <c r="Z641" s="404"/>
    </row>
    <row r="642" spans="1:26" s="133" customFormat="1" x14ac:dyDescent="0.25">
      <c r="A642" s="209"/>
      <c r="B642" s="161"/>
      <c r="C642" s="105"/>
      <c r="D642" s="105"/>
      <c r="E642" s="105"/>
      <c r="F642" s="105"/>
      <c r="G642" s="105"/>
      <c r="H642" s="105"/>
      <c r="I642" s="105"/>
      <c r="J642" s="105"/>
      <c r="K642" s="136"/>
      <c r="L642" s="105"/>
      <c r="M642" s="105"/>
      <c r="N642" s="105"/>
      <c r="O642" s="105"/>
      <c r="P642" s="135"/>
      <c r="Q642" s="105"/>
      <c r="R642" s="136"/>
      <c r="S642" s="105"/>
      <c r="T642" s="135"/>
      <c r="U642" s="354"/>
      <c r="V642" s="353"/>
      <c r="W642" s="130"/>
      <c r="X642" s="130"/>
      <c r="Y642" s="403"/>
      <c r="Z642" s="404"/>
    </row>
    <row r="643" spans="1:26" s="133" customFormat="1" x14ac:dyDescent="0.25">
      <c r="A643" s="209"/>
      <c r="B643" s="161"/>
      <c r="C643" s="105"/>
      <c r="D643" s="105"/>
      <c r="E643" s="105"/>
      <c r="F643" s="105"/>
      <c r="G643" s="105"/>
      <c r="H643" s="105"/>
      <c r="I643" s="105"/>
      <c r="J643" s="105"/>
      <c r="K643" s="136"/>
      <c r="L643" s="105"/>
      <c r="M643" s="105"/>
      <c r="N643" s="105"/>
      <c r="O643" s="105"/>
      <c r="P643" s="135"/>
      <c r="Q643" s="105"/>
      <c r="R643" s="136"/>
      <c r="S643" s="105"/>
      <c r="T643" s="135"/>
      <c r="U643" s="354"/>
      <c r="V643" s="353"/>
      <c r="W643" s="130"/>
      <c r="X643" s="130"/>
      <c r="Y643" s="403"/>
      <c r="Z643" s="404"/>
    </row>
    <row r="644" spans="1:26" s="133" customFormat="1" x14ac:dyDescent="0.25">
      <c r="A644" s="209"/>
      <c r="B644" s="161"/>
      <c r="C644" s="105"/>
      <c r="D644" s="105"/>
      <c r="E644" s="105"/>
      <c r="F644" s="105"/>
      <c r="G644" s="105"/>
      <c r="H644" s="105"/>
      <c r="I644" s="105"/>
      <c r="J644" s="105"/>
      <c r="K644" s="136"/>
      <c r="L644" s="105"/>
      <c r="M644" s="105"/>
      <c r="N644" s="105"/>
      <c r="O644" s="105"/>
      <c r="P644" s="135"/>
      <c r="Q644" s="105"/>
      <c r="R644" s="136"/>
      <c r="S644" s="105"/>
      <c r="T644" s="135"/>
      <c r="U644" s="354"/>
      <c r="V644" s="353"/>
      <c r="W644" s="130"/>
      <c r="X644" s="130"/>
      <c r="Y644" s="403"/>
      <c r="Z644" s="404"/>
    </row>
    <row r="645" spans="1:26" s="133" customFormat="1" x14ac:dyDescent="0.25">
      <c r="A645" s="209"/>
      <c r="B645" s="161"/>
      <c r="C645" s="105"/>
      <c r="D645" s="105"/>
      <c r="E645" s="105"/>
      <c r="F645" s="105"/>
      <c r="G645" s="105"/>
      <c r="H645" s="105"/>
      <c r="I645" s="105"/>
      <c r="J645" s="105"/>
      <c r="K645" s="136"/>
      <c r="L645" s="105"/>
      <c r="M645" s="105"/>
      <c r="N645" s="105"/>
      <c r="O645" s="105"/>
      <c r="P645" s="135"/>
      <c r="Q645" s="105"/>
      <c r="R645" s="136"/>
      <c r="S645" s="105"/>
      <c r="T645" s="135"/>
      <c r="U645" s="354"/>
      <c r="V645" s="353"/>
      <c r="W645" s="130"/>
      <c r="X645" s="130"/>
      <c r="Y645" s="403"/>
      <c r="Z645" s="404"/>
    </row>
    <row r="646" spans="1:26" s="133" customFormat="1" x14ac:dyDescent="0.25">
      <c r="A646" s="209"/>
      <c r="B646" s="161"/>
      <c r="C646" s="105"/>
      <c r="D646" s="105"/>
      <c r="E646" s="105"/>
      <c r="F646" s="105"/>
      <c r="G646" s="105"/>
      <c r="H646" s="105"/>
      <c r="I646" s="105"/>
      <c r="J646" s="105"/>
      <c r="K646" s="136"/>
      <c r="L646" s="105"/>
      <c r="M646" s="105"/>
      <c r="N646" s="105"/>
      <c r="O646" s="105"/>
      <c r="P646" s="135"/>
      <c r="Q646" s="105"/>
      <c r="R646" s="136"/>
      <c r="S646" s="105"/>
      <c r="T646" s="135"/>
      <c r="U646" s="354"/>
      <c r="V646" s="353"/>
      <c r="W646" s="130"/>
      <c r="X646" s="130"/>
      <c r="Y646" s="403"/>
      <c r="Z646" s="404"/>
    </row>
    <row r="647" spans="1:26" s="133" customFormat="1" x14ac:dyDescent="0.25">
      <c r="A647" s="209"/>
      <c r="B647" s="161"/>
      <c r="C647" s="105"/>
      <c r="D647" s="105"/>
      <c r="E647" s="105"/>
      <c r="F647" s="105"/>
      <c r="G647" s="105"/>
      <c r="H647" s="105"/>
      <c r="I647" s="105"/>
      <c r="J647" s="105"/>
      <c r="K647" s="136"/>
      <c r="L647" s="105"/>
      <c r="M647" s="105"/>
      <c r="N647" s="105"/>
      <c r="O647" s="105"/>
      <c r="P647" s="135"/>
      <c r="Q647" s="105"/>
      <c r="R647" s="136"/>
      <c r="S647" s="105"/>
      <c r="T647" s="135"/>
      <c r="U647" s="354"/>
      <c r="V647" s="353"/>
      <c r="W647" s="130"/>
      <c r="X647" s="130"/>
      <c r="Y647" s="403"/>
      <c r="Z647" s="404"/>
    </row>
    <row r="648" spans="1:26" s="133" customFormat="1" x14ac:dyDescent="0.25">
      <c r="A648" s="209"/>
      <c r="B648" s="161"/>
      <c r="C648" s="105"/>
      <c r="D648" s="105"/>
      <c r="E648" s="105"/>
      <c r="F648" s="105"/>
      <c r="G648" s="105"/>
      <c r="H648" s="105"/>
      <c r="I648" s="105"/>
      <c r="J648" s="105"/>
      <c r="K648" s="136"/>
      <c r="L648" s="105"/>
      <c r="M648" s="105"/>
      <c r="N648" s="105"/>
      <c r="O648" s="105"/>
      <c r="P648" s="135"/>
      <c r="Q648" s="105"/>
      <c r="R648" s="136"/>
      <c r="S648" s="105"/>
      <c r="T648" s="135"/>
      <c r="U648" s="354"/>
      <c r="V648" s="353"/>
      <c r="W648" s="130"/>
      <c r="X648" s="130"/>
      <c r="Y648" s="403"/>
      <c r="Z648" s="404"/>
    </row>
    <row r="649" spans="1:26" s="133" customFormat="1" x14ac:dyDescent="0.25">
      <c r="A649" s="209"/>
      <c r="B649" s="161"/>
      <c r="C649" s="105"/>
      <c r="D649" s="105"/>
      <c r="E649" s="105"/>
      <c r="F649" s="105"/>
      <c r="G649" s="105"/>
      <c r="H649" s="105"/>
      <c r="I649" s="105"/>
      <c r="J649" s="105"/>
      <c r="K649" s="136"/>
      <c r="L649" s="105"/>
      <c r="M649" s="105"/>
      <c r="N649" s="105"/>
      <c r="O649" s="105"/>
      <c r="P649" s="135"/>
      <c r="Q649" s="105"/>
      <c r="R649" s="136"/>
      <c r="S649" s="105"/>
      <c r="T649" s="135"/>
      <c r="U649" s="354"/>
      <c r="V649" s="353"/>
      <c r="W649" s="130"/>
      <c r="X649" s="130"/>
      <c r="Y649" s="403"/>
      <c r="Z649" s="404"/>
    </row>
    <row r="650" spans="1:26" s="133" customFormat="1" x14ac:dyDescent="0.25">
      <c r="A650" s="209"/>
      <c r="B650" s="161"/>
      <c r="C650" s="105"/>
      <c r="D650" s="105"/>
      <c r="E650" s="105"/>
      <c r="F650" s="105"/>
      <c r="G650" s="105"/>
      <c r="H650" s="105"/>
      <c r="I650" s="105"/>
      <c r="J650" s="105"/>
      <c r="K650" s="136"/>
      <c r="L650" s="105"/>
      <c r="M650" s="105"/>
      <c r="N650" s="105"/>
      <c r="O650" s="105"/>
      <c r="P650" s="135"/>
      <c r="Q650" s="105"/>
      <c r="R650" s="136"/>
      <c r="S650" s="105"/>
      <c r="T650" s="135"/>
      <c r="U650" s="354"/>
      <c r="V650" s="353"/>
      <c r="W650" s="130"/>
      <c r="X650" s="130"/>
      <c r="Y650" s="403"/>
      <c r="Z650" s="404"/>
    </row>
    <row r="651" spans="1:26" s="133" customFormat="1" x14ac:dyDescent="0.25">
      <c r="A651" s="209"/>
      <c r="B651" s="161"/>
      <c r="C651" s="105"/>
      <c r="D651" s="105"/>
      <c r="E651" s="105"/>
      <c r="F651" s="105"/>
      <c r="G651" s="105"/>
      <c r="H651" s="105"/>
      <c r="I651" s="105"/>
      <c r="J651" s="105"/>
      <c r="K651" s="136"/>
      <c r="L651" s="105"/>
      <c r="M651" s="105"/>
      <c r="N651" s="105"/>
      <c r="O651" s="105"/>
      <c r="P651" s="135"/>
      <c r="Q651" s="105"/>
      <c r="R651" s="136"/>
      <c r="S651" s="105"/>
      <c r="T651" s="135"/>
      <c r="U651" s="354"/>
      <c r="V651" s="353"/>
      <c r="W651" s="130"/>
      <c r="X651" s="130"/>
      <c r="Y651" s="403"/>
      <c r="Z651" s="404"/>
    </row>
    <row r="652" spans="1:26" s="133" customFormat="1" x14ac:dyDescent="0.25">
      <c r="A652" s="209"/>
      <c r="B652" s="161"/>
      <c r="C652" s="105"/>
      <c r="D652" s="105"/>
      <c r="E652" s="105"/>
      <c r="F652" s="105"/>
      <c r="G652" s="105"/>
      <c r="H652" s="105"/>
      <c r="I652" s="105"/>
      <c r="J652" s="105"/>
      <c r="K652" s="136"/>
      <c r="L652" s="105"/>
      <c r="M652" s="105"/>
      <c r="N652" s="105"/>
      <c r="O652" s="105"/>
      <c r="P652" s="135"/>
      <c r="Q652" s="105"/>
      <c r="R652" s="136"/>
      <c r="S652" s="105"/>
      <c r="T652" s="135"/>
      <c r="U652" s="354"/>
      <c r="V652" s="353"/>
      <c r="W652" s="130"/>
      <c r="X652" s="130"/>
      <c r="Y652" s="403"/>
      <c r="Z652" s="404"/>
    </row>
    <row r="653" spans="1:26" s="133" customFormat="1" x14ac:dyDescent="0.25">
      <c r="A653" s="209"/>
      <c r="B653" s="161"/>
      <c r="C653" s="105"/>
      <c r="D653" s="105"/>
      <c r="E653" s="105"/>
      <c r="F653" s="105"/>
      <c r="G653" s="105"/>
      <c r="H653" s="105"/>
      <c r="I653" s="105"/>
      <c r="J653" s="105"/>
      <c r="K653" s="136"/>
      <c r="L653" s="105"/>
      <c r="M653" s="105"/>
      <c r="N653" s="105"/>
      <c r="O653" s="105"/>
      <c r="P653" s="135"/>
      <c r="Q653" s="105"/>
      <c r="R653" s="136"/>
      <c r="S653" s="105"/>
      <c r="T653" s="135"/>
      <c r="U653" s="354"/>
      <c r="V653" s="353"/>
      <c r="W653" s="130"/>
      <c r="X653" s="130"/>
      <c r="Y653" s="403"/>
      <c r="Z653" s="404"/>
    </row>
    <row r="654" spans="1:26" s="133" customFormat="1" x14ac:dyDescent="0.25">
      <c r="A654" s="209"/>
      <c r="B654" s="161"/>
      <c r="C654" s="105"/>
      <c r="D654" s="105"/>
      <c r="E654" s="105"/>
      <c r="F654" s="105"/>
      <c r="G654" s="105"/>
      <c r="H654" s="105"/>
      <c r="I654" s="105"/>
      <c r="J654" s="105"/>
      <c r="K654" s="136"/>
      <c r="L654" s="105"/>
      <c r="M654" s="105"/>
      <c r="N654" s="105"/>
      <c r="O654" s="105"/>
      <c r="P654" s="135"/>
      <c r="Q654" s="105"/>
      <c r="R654" s="136"/>
      <c r="S654" s="105"/>
      <c r="T654" s="135"/>
      <c r="U654" s="354"/>
      <c r="V654" s="353"/>
      <c r="W654" s="130"/>
      <c r="X654" s="130"/>
      <c r="Y654" s="403"/>
      <c r="Z654" s="404"/>
    </row>
    <row r="655" spans="1:26" s="133" customFormat="1" x14ac:dyDescent="0.25">
      <c r="A655" s="209"/>
      <c r="B655" s="161"/>
      <c r="C655" s="105"/>
      <c r="D655" s="105"/>
      <c r="E655" s="105"/>
      <c r="F655" s="105"/>
      <c r="G655" s="105"/>
      <c r="H655" s="105"/>
      <c r="I655" s="105"/>
      <c r="J655" s="105"/>
      <c r="K655" s="136"/>
      <c r="L655" s="105"/>
      <c r="M655" s="105"/>
      <c r="N655" s="105"/>
      <c r="O655" s="105"/>
      <c r="P655" s="135"/>
      <c r="Q655" s="105"/>
      <c r="R655" s="136"/>
      <c r="S655" s="105"/>
      <c r="T655" s="135"/>
      <c r="U655" s="354"/>
      <c r="V655" s="353"/>
      <c r="W655" s="130"/>
      <c r="X655" s="130"/>
      <c r="Y655" s="403"/>
      <c r="Z655" s="404"/>
    </row>
    <row r="656" spans="1:26" s="133" customFormat="1" x14ac:dyDescent="0.25">
      <c r="A656" s="209"/>
      <c r="B656" s="161"/>
      <c r="C656" s="105"/>
      <c r="D656" s="105"/>
      <c r="E656" s="105"/>
      <c r="F656" s="105"/>
      <c r="G656" s="105"/>
      <c r="H656" s="105"/>
      <c r="I656" s="105"/>
      <c r="J656" s="105"/>
      <c r="K656" s="136"/>
      <c r="L656" s="105"/>
      <c r="M656" s="105"/>
      <c r="N656" s="105"/>
      <c r="O656" s="105"/>
      <c r="P656" s="135"/>
      <c r="Q656" s="105"/>
      <c r="R656" s="136"/>
      <c r="S656" s="105"/>
      <c r="T656" s="135"/>
      <c r="U656" s="354"/>
      <c r="V656" s="353"/>
      <c r="W656" s="130"/>
      <c r="X656" s="130"/>
      <c r="Y656" s="403"/>
      <c r="Z656" s="404"/>
    </row>
    <row r="657" spans="1:26" s="133" customFormat="1" x14ac:dyDescent="0.25">
      <c r="A657" s="209"/>
      <c r="B657" s="161"/>
      <c r="C657" s="105"/>
      <c r="D657" s="105"/>
      <c r="E657" s="105"/>
      <c r="F657" s="105"/>
      <c r="G657" s="105"/>
      <c r="H657" s="105"/>
      <c r="I657" s="105"/>
      <c r="J657" s="105"/>
      <c r="K657" s="136"/>
      <c r="L657" s="105"/>
      <c r="M657" s="105"/>
      <c r="N657" s="105"/>
      <c r="O657" s="105"/>
      <c r="P657" s="135"/>
      <c r="Q657" s="105"/>
      <c r="R657" s="136"/>
      <c r="S657" s="105"/>
      <c r="T657" s="135"/>
      <c r="U657" s="354"/>
      <c r="V657" s="353"/>
      <c r="W657" s="130"/>
      <c r="X657" s="130"/>
      <c r="Y657" s="403"/>
      <c r="Z657" s="404"/>
    </row>
    <row r="658" spans="1:26" s="133" customFormat="1" x14ac:dyDescent="0.25">
      <c r="A658" s="209"/>
      <c r="B658" s="161"/>
      <c r="C658" s="105"/>
      <c r="D658" s="105"/>
      <c r="E658" s="105"/>
      <c r="F658" s="105"/>
      <c r="G658" s="105"/>
      <c r="H658" s="105"/>
      <c r="I658" s="105"/>
      <c r="J658" s="105"/>
      <c r="K658" s="136"/>
      <c r="L658" s="105"/>
      <c r="M658" s="105"/>
      <c r="N658" s="105"/>
      <c r="O658" s="105"/>
      <c r="P658" s="135"/>
      <c r="Q658" s="105"/>
      <c r="R658" s="136"/>
      <c r="S658" s="105"/>
      <c r="T658" s="135"/>
      <c r="U658" s="354"/>
      <c r="V658" s="353"/>
      <c r="W658" s="130"/>
      <c r="X658" s="130"/>
      <c r="Y658" s="403"/>
      <c r="Z658" s="404"/>
    </row>
    <row r="659" spans="1:26" s="133" customFormat="1" x14ac:dyDescent="0.25">
      <c r="A659" s="209"/>
      <c r="B659" s="161"/>
      <c r="C659" s="105"/>
      <c r="D659" s="105"/>
      <c r="E659" s="105"/>
      <c r="F659" s="105"/>
      <c r="G659" s="105"/>
      <c r="H659" s="105"/>
      <c r="I659" s="105"/>
      <c r="J659" s="105"/>
      <c r="K659" s="136"/>
      <c r="L659" s="105"/>
      <c r="M659" s="105"/>
      <c r="N659" s="105"/>
      <c r="O659" s="105"/>
      <c r="P659" s="135"/>
      <c r="Q659" s="105"/>
      <c r="R659" s="136"/>
      <c r="S659" s="105"/>
      <c r="T659" s="135"/>
      <c r="U659" s="354"/>
      <c r="V659" s="353"/>
      <c r="W659" s="130"/>
      <c r="X659" s="130"/>
      <c r="Y659" s="403"/>
      <c r="Z659" s="404"/>
    </row>
    <row r="660" spans="1:26" s="133" customFormat="1" x14ac:dyDescent="0.25">
      <c r="A660" s="209"/>
      <c r="B660" s="161"/>
      <c r="C660" s="105"/>
      <c r="D660" s="105"/>
      <c r="E660" s="105"/>
      <c r="F660" s="105"/>
      <c r="G660" s="105"/>
      <c r="H660" s="105"/>
      <c r="I660" s="105"/>
      <c r="J660" s="105"/>
      <c r="K660" s="136"/>
      <c r="L660" s="105"/>
      <c r="M660" s="105"/>
      <c r="N660" s="105"/>
      <c r="O660" s="105"/>
      <c r="P660" s="135"/>
      <c r="Q660" s="105"/>
      <c r="R660" s="136"/>
      <c r="S660" s="105"/>
      <c r="T660" s="135"/>
      <c r="U660" s="354"/>
      <c r="V660" s="353"/>
      <c r="W660" s="130"/>
      <c r="X660" s="130"/>
      <c r="Y660" s="403"/>
      <c r="Z660" s="404"/>
    </row>
    <row r="661" spans="1:26" s="133" customFormat="1" x14ac:dyDescent="0.25">
      <c r="A661" s="209"/>
      <c r="B661" s="161"/>
      <c r="C661" s="105"/>
      <c r="D661" s="105"/>
      <c r="E661" s="105"/>
      <c r="F661" s="105"/>
      <c r="G661" s="105"/>
      <c r="H661" s="105"/>
      <c r="I661" s="105"/>
      <c r="J661" s="105"/>
      <c r="K661" s="136"/>
      <c r="L661" s="105"/>
      <c r="M661" s="105"/>
      <c r="N661" s="105"/>
      <c r="O661" s="105"/>
      <c r="P661" s="135"/>
      <c r="Q661" s="105"/>
      <c r="R661" s="136"/>
      <c r="S661" s="105"/>
      <c r="T661" s="135"/>
      <c r="U661" s="354"/>
      <c r="V661" s="353"/>
      <c r="W661" s="130"/>
      <c r="X661" s="130"/>
      <c r="Y661" s="403"/>
      <c r="Z661" s="404"/>
    </row>
    <row r="662" spans="1:26" s="133" customFormat="1" x14ac:dyDescent="0.25">
      <c r="A662" s="209"/>
      <c r="B662" s="161"/>
      <c r="C662" s="105"/>
      <c r="D662" s="105"/>
      <c r="E662" s="105"/>
      <c r="F662" s="105"/>
      <c r="G662" s="105"/>
      <c r="H662" s="105"/>
      <c r="I662" s="105"/>
      <c r="J662" s="105"/>
      <c r="K662" s="136"/>
      <c r="L662" s="105"/>
      <c r="M662" s="105"/>
      <c r="N662" s="105"/>
      <c r="O662" s="105"/>
      <c r="P662" s="135"/>
      <c r="Q662" s="105"/>
      <c r="R662" s="136"/>
      <c r="S662" s="105"/>
      <c r="T662" s="135"/>
      <c r="U662" s="354"/>
      <c r="V662" s="353"/>
      <c r="W662" s="130"/>
      <c r="X662" s="130"/>
      <c r="Y662" s="403"/>
      <c r="Z662" s="404"/>
    </row>
    <row r="663" spans="1:26" s="133" customFormat="1" x14ac:dyDescent="0.25">
      <c r="A663" s="209"/>
      <c r="B663" s="161"/>
      <c r="C663" s="105"/>
      <c r="D663" s="105"/>
      <c r="E663" s="105"/>
      <c r="F663" s="105"/>
      <c r="G663" s="105"/>
      <c r="H663" s="105"/>
      <c r="I663" s="105"/>
      <c r="J663" s="105"/>
      <c r="K663" s="136"/>
      <c r="L663" s="105"/>
      <c r="M663" s="105"/>
      <c r="N663" s="105"/>
      <c r="O663" s="105"/>
      <c r="P663" s="135"/>
      <c r="Q663" s="105"/>
      <c r="R663" s="136"/>
      <c r="S663" s="105"/>
      <c r="T663" s="135"/>
      <c r="U663" s="354"/>
      <c r="V663" s="353"/>
      <c r="W663" s="130"/>
      <c r="X663" s="130"/>
      <c r="Y663" s="403"/>
      <c r="Z663" s="404"/>
    </row>
    <row r="664" spans="1:26" s="133" customFormat="1" x14ac:dyDescent="0.25">
      <c r="A664" s="209"/>
      <c r="B664" s="161"/>
      <c r="C664" s="105"/>
      <c r="D664" s="105"/>
      <c r="E664" s="105"/>
      <c r="F664" s="105"/>
      <c r="G664" s="105"/>
      <c r="H664" s="105"/>
      <c r="I664" s="105"/>
      <c r="J664" s="105"/>
      <c r="K664" s="136"/>
      <c r="L664" s="105"/>
      <c r="M664" s="105"/>
      <c r="N664" s="105"/>
      <c r="O664" s="105"/>
      <c r="P664" s="135"/>
      <c r="Q664" s="105"/>
      <c r="R664" s="136"/>
      <c r="S664" s="105"/>
      <c r="T664" s="135"/>
      <c r="U664" s="354"/>
      <c r="V664" s="353"/>
      <c r="W664" s="130"/>
      <c r="X664" s="130"/>
      <c r="Y664" s="403"/>
      <c r="Z664" s="404"/>
    </row>
    <row r="665" spans="1:26" s="133" customFormat="1" x14ac:dyDescent="0.25">
      <c r="A665" s="209"/>
      <c r="B665" s="161"/>
      <c r="C665" s="105"/>
      <c r="D665" s="105"/>
      <c r="E665" s="105"/>
      <c r="F665" s="105"/>
      <c r="G665" s="105"/>
      <c r="H665" s="105"/>
      <c r="I665" s="105"/>
      <c r="J665" s="105"/>
      <c r="K665" s="136"/>
      <c r="L665" s="105"/>
      <c r="M665" s="105"/>
      <c r="N665" s="105"/>
      <c r="O665" s="105"/>
      <c r="P665" s="135"/>
      <c r="Q665" s="105"/>
      <c r="R665" s="136"/>
      <c r="S665" s="105"/>
      <c r="T665" s="135"/>
      <c r="U665" s="354"/>
      <c r="V665" s="353"/>
      <c r="W665" s="130"/>
      <c r="X665" s="130"/>
      <c r="Y665" s="403"/>
      <c r="Z665" s="404"/>
    </row>
    <row r="666" spans="1:26" s="133" customFormat="1" x14ac:dyDescent="0.25">
      <c r="A666" s="209"/>
      <c r="B666" s="161"/>
      <c r="C666" s="105"/>
      <c r="D666" s="105"/>
      <c r="E666" s="105"/>
      <c r="F666" s="105"/>
      <c r="G666" s="105"/>
      <c r="H666" s="105"/>
      <c r="I666" s="105"/>
      <c r="J666" s="105"/>
      <c r="K666" s="136"/>
      <c r="L666" s="105"/>
      <c r="M666" s="105"/>
      <c r="N666" s="105"/>
      <c r="O666" s="105"/>
      <c r="P666" s="135"/>
      <c r="Q666" s="105"/>
      <c r="R666" s="136"/>
      <c r="S666" s="105"/>
      <c r="T666" s="135"/>
      <c r="U666" s="354"/>
      <c r="V666" s="353"/>
      <c r="W666" s="130"/>
      <c r="X666" s="130"/>
      <c r="Y666" s="403"/>
      <c r="Z666" s="404"/>
    </row>
    <row r="667" spans="1:26" s="133" customFormat="1" x14ac:dyDescent="0.25">
      <c r="A667" s="209"/>
      <c r="B667" s="161"/>
      <c r="C667" s="105"/>
      <c r="D667" s="105"/>
      <c r="E667" s="105"/>
      <c r="F667" s="105"/>
      <c r="G667" s="105"/>
      <c r="H667" s="105"/>
      <c r="I667" s="105"/>
      <c r="J667" s="105"/>
      <c r="K667" s="136"/>
      <c r="L667" s="105"/>
      <c r="M667" s="105"/>
      <c r="N667" s="105"/>
      <c r="O667" s="105"/>
      <c r="P667" s="135"/>
      <c r="Q667" s="105"/>
      <c r="R667" s="136"/>
      <c r="S667" s="105"/>
      <c r="T667" s="135"/>
      <c r="U667" s="354"/>
      <c r="V667" s="353"/>
      <c r="W667" s="130"/>
      <c r="X667" s="130"/>
      <c r="Y667" s="403"/>
      <c r="Z667" s="404"/>
    </row>
    <row r="668" spans="1:26" s="133" customFormat="1" x14ac:dyDescent="0.25">
      <c r="A668" s="209"/>
      <c r="B668" s="161"/>
      <c r="C668" s="105"/>
      <c r="D668" s="105"/>
      <c r="E668" s="105"/>
      <c r="F668" s="105"/>
      <c r="G668" s="105"/>
      <c r="H668" s="105"/>
      <c r="I668" s="105"/>
      <c r="J668" s="105"/>
      <c r="K668" s="136"/>
      <c r="L668" s="105"/>
      <c r="M668" s="105"/>
      <c r="N668" s="105"/>
      <c r="O668" s="105"/>
      <c r="P668" s="135"/>
      <c r="Q668" s="105"/>
      <c r="R668" s="136"/>
      <c r="S668" s="105"/>
      <c r="T668" s="135"/>
      <c r="U668" s="354"/>
      <c r="V668" s="353"/>
      <c r="W668" s="130"/>
      <c r="X668" s="130"/>
      <c r="Y668" s="403"/>
      <c r="Z668" s="404"/>
    </row>
    <row r="669" spans="1:26" s="133" customFormat="1" x14ac:dyDescent="0.25">
      <c r="A669" s="209"/>
      <c r="B669" s="161"/>
      <c r="C669" s="105"/>
      <c r="D669" s="105"/>
      <c r="E669" s="105"/>
      <c r="F669" s="105"/>
      <c r="G669" s="105"/>
      <c r="H669" s="105"/>
      <c r="I669" s="105"/>
      <c r="J669" s="105"/>
      <c r="K669" s="136"/>
      <c r="L669" s="105"/>
      <c r="M669" s="105"/>
      <c r="N669" s="105"/>
      <c r="O669" s="105"/>
      <c r="P669" s="135"/>
      <c r="Q669" s="105"/>
      <c r="R669" s="136"/>
      <c r="S669" s="105"/>
      <c r="T669" s="135"/>
      <c r="U669" s="354"/>
      <c r="V669" s="353"/>
      <c r="W669" s="130"/>
      <c r="X669" s="130"/>
      <c r="Y669" s="403"/>
      <c r="Z669" s="404"/>
    </row>
    <row r="670" spans="1:26" s="133" customFormat="1" x14ac:dyDescent="0.25">
      <c r="A670" s="209"/>
      <c r="B670" s="161"/>
      <c r="C670" s="105"/>
      <c r="D670" s="105"/>
      <c r="E670" s="105"/>
      <c r="F670" s="105"/>
      <c r="G670" s="105"/>
      <c r="H670" s="105"/>
      <c r="I670" s="105"/>
      <c r="J670" s="105"/>
      <c r="K670" s="136"/>
      <c r="L670" s="105"/>
      <c r="M670" s="105"/>
      <c r="N670" s="105"/>
      <c r="O670" s="105"/>
      <c r="P670" s="135"/>
      <c r="Q670" s="105"/>
      <c r="R670" s="136"/>
      <c r="S670" s="105"/>
      <c r="T670" s="135"/>
      <c r="U670" s="354"/>
      <c r="V670" s="353"/>
      <c r="W670" s="130"/>
      <c r="X670" s="130"/>
      <c r="Y670" s="403"/>
      <c r="Z670" s="404"/>
    </row>
    <row r="671" spans="1:26" s="133" customFormat="1" x14ac:dyDescent="0.25">
      <c r="A671" s="209"/>
      <c r="B671" s="161"/>
      <c r="C671" s="105"/>
      <c r="D671" s="105"/>
      <c r="E671" s="105"/>
      <c r="F671" s="105"/>
      <c r="G671" s="105"/>
      <c r="H671" s="105"/>
      <c r="I671" s="105"/>
      <c r="J671" s="105"/>
      <c r="K671" s="136"/>
      <c r="L671" s="105"/>
      <c r="M671" s="105"/>
      <c r="N671" s="105"/>
      <c r="O671" s="105"/>
      <c r="P671" s="135"/>
      <c r="Q671" s="105"/>
      <c r="R671" s="136"/>
      <c r="S671" s="105"/>
      <c r="T671" s="135"/>
      <c r="U671" s="354"/>
      <c r="V671" s="353"/>
      <c r="W671" s="130"/>
      <c r="X671" s="130"/>
      <c r="Y671" s="403"/>
      <c r="Z671" s="404"/>
    </row>
    <row r="672" spans="1:26" s="133" customFormat="1" x14ac:dyDescent="0.25">
      <c r="A672" s="209"/>
      <c r="B672" s="161"/>
      <c r="C672" s="105"/>
      <c r="D672" s="105"/>
      <c r="E672" s="105"/>
      <c r="F672" s="105"/>
      <c r="G672" s="105"/>
      <c r="H672" s="105"/>
      <c r="I672" s="105"/>
      <c r="J672" s="105"/>
      <c r="K672" s="136"/>
      <c r="L672" s="105"/>
      <c r="M672" s="105"/>
      <c r="N672" s="105"/>
      <c r="O672" s="105"/>
      <c r="P672" s="135"/>
      <c r="Q672" s="105"/>
      <c r="R672" s="136"/>
      <c r="S672" s="105"/>
      <c r="T672" s="135"/>
      <c r="U672" s="354"/>
      <c r="V672" s="353"/>
      <c r="W672" s="130"/>
      <c r="X672" s="130"/>
      <c r="Y672" s="403"/>
      <c r="Z672" s="404"/>
    </row>
    <row r="673" spans="1:26" s="133" customFormat="1" x14ac:dyDescent="0.25">
      <c r="A673" s="209"/>
      <c r="B673" s="161"/>
      <c r="C673" s="105"/>
      <c r="D673" s="105"/>
      <c r="E673" s="105"/>
      <c r="F673" s="105"/>
      <c r="G673" s="105"/>
      <c r="H673" s="105"/>
      <c r="I673" s="105"/>
      <c r="J673" s="105"/>
      <c r="K673" s="136"/>
      <c r="L673" s="105"/>
      <c r="M673" s="105"/>
      <c r="N673" s="105"/>
      <c r="O673" s="105"/>
      <c r="P673" s="135"/>
      <c r="Q673" s="105"/>
      <c r="R673" s="136"/>
      <c r="S673" s="105"/>
      <c r="T673" s="135"/>
      <c r="U673" s="354"/>
      <c r="V673" s="353"/>
      <c r="W673" s="130"/>
      <c r="X673" s="130"/>
      <c r="Y673" s="403"/>
      <c r="Z673" s="404"/>
    </row>
    <row r="674" spans="1:26" s="133" customFormat="1" x14ac:dyDescent="0.25">
      <c r="A674" s="209"/>
      <c r="B674" s="161"/>
      <c r="C674" s="105"/>
      <c r="D674" s="105"/>
      <c r="E674" s="105"/>
      <c r="F674" s="105"/>
      <c r="G674" s="105"/>
      <c r="H674" s="105"/>
      <c r="I674" s="105"/>
      <c r="J674" s="105"/>
      <c r="K674" s="136"/>
      <c r="L674" s="105"/>
      <c r="M674" s="105"/>
      <c r="N674" s="105"/>
      <c r="O674" s="105"/>
      <c r="P674" s="135"/>
      <c r="Q674" s="105"/>
      <c r="R674" s="136"/>
      <c r="S674" s="105"/>
      <c r="T674" s="135"/>
      <c r="U674" s="354"/>
      <c r="V674" s="353"/>
      <c r="W674" s="130"/>
      <c r="X674" s="130"/>
      <c r="Y674" s="403"/>
      <c r="Z674" s="404"/>
    </row>
    <row r="675" spans="1:26" s="133" customFormat="1" x14ac:dyDescent="0.25">
      <c r="A675" s="209"/>
      <c r="B675" s="161"/>
      <c r="C675" s="105"/>
      <c r="D675" s="105"/>
      <c r="E675" s="105"/>
      <c r="F675" s="105"/>
      <c r="G675" s="105"/>
      <c r="H675" s="105"/>
      <c r="I675" s="105"/>
      <c r="J675" s="105"/>
      <c r="K675" s="136"/>
      <c r="L675" s="105"/>
      <c r="M675" s="105"/>
      <c r="N675" s="105"/>
      <c r="O675" s="105"/>
      <c r="P675" s="135"/>
      <c r="Q675" s="105"/>
      <c r="R675" s="136"/>
      <c r="S675" s="105"/>
      <c r="T675" s="135"/>
      <c r="U675" s="354"/>
      <c r="V675" s="353"/>
      <c r="W675" s="130"/>
      <c r="X675" s="130"/>
      <c r="Y675" s="403"/>
      <c r="Z675" s="404"/>
    </row>
    <row r="676" spans="1:26" s="133" customFormat="1" x14ac:dyDescent="0.25">
      <c r="A676" s="209"/>
      <c r="B676" s="161"/>
      <c r="C676" s="105"/>
      <c r="D676" s="105"/>
      <c r="E676" s="105"/>
      <c r="F676" s="105"/>
      <c r="G676" s="105"/>
      <c r="H676" s="105"/>
      <c r="I676" s="105"/>
      <c r="J676" s="105"/>
      <c r="K676" s="136"/>
      <c r="L676" s="105"/>
      <c r="M676" s="105"/>
      <c r="N676" s="105"/>
      <c r="O676" s="105"/>
      <c r="P676" s="135"/>
      <c r="Q676" s="105"/>
      <c r="R676" s="136"/>
      <c r="S676" s="105"/>
      <c r="T676" s="135"/>
      <c r="U676" s="354"/>
      <c r="V676" s="353"/>
      <c r="W676" s="130"/>
      <c r="X676" s="130"/>
      <c r="Y676" s="403"/>
      <c r="Z676" s="404"/>
    </row>
    <row r="677" spans="1:26" s="133" customFormat="1" x14ac:dyDescent="0.25">
      <c r="A677" s="209"/>
      <c r="B677" s="161"/>
      <c r="C677" s="105"/>
      <c r="D677" s="105"/>
      <c r="E677" s="105"/>
      <c r="F677" s="105"/>
      <c r="G677" s="105"/>
      <c r="H677" s="105"/>
      <c r="I677" s="105"/>
      <c r="J677" s="105"/>
      <c r="K677" s="136"/>
      <c r="L677" s="105"/>
      <c r="M677" s="105"/>
      <c r="N677" s="105"/>
      <c r="O677" s="105"/>
      <c r="P677" s="135"/>
      <c r="Q677" s="105"/>
      <c r="R677" s="136"/>
      <c r="S677" s="105"/>
      <c r="T677" s="135"/>
      <c r="U677" s="354"/>
      <c r="V677" s="353"/>
      <c r="W677" s="130"/>
      <c r="X677" s="130"/>
      <c r="Y677" s="403"/>
      <c r="Z677" s="404"/>
    </row>
    <row r="678" spans="1:26" s="133" customFormat="1" x14ac:dyDescent="0.25">
      <c r="A678" s="209"/>
      <c r="B678" s="161"/>
      <c r="C678" s="105"/>
      <c r="D678" s="105"/>
      <c r="E678" s="105"/>
      <c r="F678" s="105"/>
      <c r="G678" s="105"/>
      <c r="H678" s="105"/>
      <c r="I678" s="105"/>
      <c r="J678" s="105"/>
      <c r="K678" s="136"/>
      <c r="L678" s="105"/>
      <c r="M678" s="105"/>
      <c r="N678" s="105"/>
      <c r="O678" s="105"/>
      <c r="P678" s="135"/>
      <c r="Q678" s="105"/>
      <c r="R678" s="136"/>
      <c r="S678" s="105"/>
      <c r="T678" s="135"/>
      <c r="U678" s="354"/>
      <c r="V678" s="353"/>
      <c r="W678" s="130"/>
      <c r="X678" s="130"/>
      <c r="Y678" s="403"/>
      <c r="Z678" s="404"/>
    </row>
    <row r="679" spans="1:26" s="133" customFormat="1" x14ac:dyDescent="0.25">
      <c r="A679" s="209"/>
      <c r="B679" s="161"/>
      <c r="C679" s="105"/>
      <c r="D679" s="105"/>
      <c r="E679" s="105"/>
      <c r="F679" s="105"/>
      <c r="G679" s="105"/>
      <c r="H679" s="105"/>
      <c r="I679" s="105"/>
      <c r="J679" s="105"/>
      <c r="K679" s="136"/>
      <c r="L679" s="105"/>
      <c r="M679" s="105"/>
      <c r="N679" s="105"/>
      <c r="O679" s="105"/>
      <c r="P679" s="135"/>
      <c r="Q679" s="105"/>
      <c r="R679" s="136"/>
      <c r="S679" s="105"/>
      <c r="T679" s="135"/>
      <c r="U679" s="354"/>
      <c r="V679" s="353"/>
      <c r="W679" s="130"/>
      <c r="X679" s="130"/>
      <c r="Y679" s="403"/>
      <c r="Z679" s="404"/>
    </row>
    <row r="680" spans="1:26" s="133" customFormat="1" x14ac:dyDescent="0.25">
      <c r="A680" s="209"/>
      <c r="B680" s="161"/>
      <c r="C680" s="105"/>
      <c r="D680" s="105"/>
      <c r="E680" s="105"/>
      <c r="F680" s="105"/>
      <c r="G680" s="105"/>
      <c r="H680" s="105"/>
      <c r="I680" s="105"/>
      <c r="J680" s="105"/>
      <c r="K680" s="136"/>
      <c r="L680" s="105"/>
      <c r="M680" s="105"/>
      <c r="N680" s="105"/>
      <c r="O680" s="105"/>
      <c r="P680" s="135"/>
      <c r="Q680" s="105"/>
      <c r="R680" s="136"/>
      <c r="S680" s="105"/>
      <c r="T680" s="135"/>
      <c r="U680" s="354"/>
      <c r="V680" s="353"/>
      <c r="W680" s="130"/>
      <c r="X680" s="130"/>
      <c r="Y680" s="403"/>
      <c r="Z680" s="404"/>
    </row>
    <row r="681" spans="1:26" s="133" customFormat="1" x14ac:dyDescent="0.25">
      <c r="A681" s="209"/>
      <c r="B681" s="161"/>
      <c r="C681" s="105"/>
      <c r="D681" s="105"/>
      <c r="E681" s="105"/>
      <c r="F681" s="105"/>
      <c r="G681" s="105"/>
      <c r="H681" s="105"/>
      <c r="I681" s="105"/>
      <c r="J681" s="105"/>
      <c r="K681" s="136"/>
      <c r="L681" s="105"/>
      <c r="M681" s="105"/>
      <c r="N681" s="105"/>
      <c r="O681" s="105"/>
      <c r="P681" s="135"/>
      <c r="Q681" s="105"/>
      <c r="R681" s="136"/>
      <c r="S681" s="105"/>
      <c r="T681" s="135"/>
      <c r="U681" s="354"/>
      <c r="V681" s="353"/>
      <c r="W681" s="130"/>
      <c r="X681" s="130"/>
      <c r="Y681" s="403"/>
      <c r="Z681" s="404"/>
    </row>
    <row r="682" spans="1:26" s="133" customFormat="1" x14ac:dyDescent="0.25">
      <c r="A682" s="209"/>
      <c r="B682" s="161"/>
      <c r="C682" s="105"/>
      <c r="D682" s="105"/>
      <c r="E682" s="105"/>
      <c r="F682" s="105"/>
      <c r="G682" s="105"/>
      <c r="H682" s="105"/>
      <c r="I682" s="105"/>
      <c r="J682" s="105"/>
      <c r="K682" s="136"/>
      <c r="L682" s="105"/>
      <c r="M682" s="105"/>
      <c r="N682" s="105"/>
      <c r="O682" s="105"/>
      <c r="P682" s="135"/>
      <c r="Q682" s="105"/>
      <c r="R682" s="136"/>
      <c r="S682" s="105"/>
      <c r="T682" s="135"/>
      <c r="U682" s="354"/>
      <c r="V682" s="353"/>
      <c r="W682" s="130"/>
      <c r="X682" s="130"/>
      <c r="Y682" s="403"/>
      <c r="Z682" s="404"/>
    </row>
    <row r="683" spans="1:26" s="133" customFormat="1" x14ac:dyDescent="0.25">
      <c r="A683" s="209"/>
      <c r="B683" s="161"/>
      <c r="C683" s="105"/>
      <c r="D683" s="105"/>
      <c r="E683" s="105"/>
      <c r="F683" s="105"/>
      <c r="G683" s="105"/>
      <c r="H683" s="105"/>
      <c r="I683" s="105"/>
      <c r="J683" s="105"/>
      <c r="K683" s="136"/>
      <c r="L683" s="105"/>
      <c r="M683" s="105"/>
      <c r="N683" s="105"/>
      <c r="O683" s="105"/>
      <c r="P683" s="135"/>
      <c r="Q683" s="105"/>
      <c r="R683" s="136"/>
      <c r="S683" s="105"/>
      <c r="T683" s="135"/>
      <c r="U683" s="354"/>
      <c r="V683" s="353"/>
      <c r="W683" s="130"/>
      <c r="X683" s="130"/>
      <c r="Y683" s="403"/>
      <c r="Z683" s="404"/>
    </row>
    <row r="684" spans="1:26" s="133" customFormat="1" x14ac:dyDescent="0.25">
      <c r="A684" s="209"/>
      <c r="B684" s="161"/>
      <c r="C684" s="105"/>
      <c r="D684" s="105"/>
      <c r="E684" s="105"/>
      <c r="F684" s="105"/>
      <c r="G684" s="105"/>
      <c r="H684" s="105"/>
      <c r="I684" s="105"/>
      <c r="J684" s="105"/>
      <c r="K684" s="136"/>
      <c r="L684" s="105"/>
      <c r="M684" s="105"/>
      <c r="N684" s="105"/>
      <c r="O684" s="105"/>
      <c r="P684" s="135"/>
      <c r="Q684" s="105"/>
      <c r="R684" s="136"/>
      <c r="S684" s="105"/>
      <c r="T684" s="135"/>
      <c r="U684" s="354"/>
      <c r="V684" s="353"/>
      <c r="W684" s="130"/>
      <c r="X684" s="130"/>
      <c r="Y684" s="403"/>
      <c r="Z684" s="404"/>
    </row>
    <row r="685" spans="1:26" s="133" customFormat="1" x14ac:dyDescent="0.25">
      <c r="A685" s="209"/>
      <c r="B685" s="161"/>
      <c r="C685" s="105"/>
      <c r="D685" s="105"/>
      <c r="E685" s="105"/>
      <c r="F685" s="105"/>
      <c r="G685" s="105"/>
      <c r="H685" s="105"/>
      <c r="I685" s="105"/>
      <c r="J685" s="105"/>
      <c r="K685" s="136"/>
      <c r="L685" s="105"/>
      <c r="M685" s="105"/>
      <c r="N685" s="105"/>
      <c r="O685" s="105"/>
      <c r="P685" s="135"/>
      <c r="Q685" s="105"/>
      <c r="R685" s="136"/>
      <c r="S685" s="105"/>
      <c r="T685" s="135"/>
      <c r="U685" s="354"/>
      <c r="V685" s="353"/>
      <c r="W685" s="130"/>
      <c r="X685" s="130"/>
      <c r="Y685" s="403"/>
      <c r="Z685" s="404"/>
    </row>
    <row r="686" spans="1:26" s="133" customFormat="1" x14ac:dyDescent="0.25">
      <c r="A686" s="209"/>
      <c r="B686" s="161"/>
      <c r="C686" s="105"/>
      <c r="D686" s="105"/>
      <c r="E686" s="105"/>
      <c r="F686" s="105"/>
      <c r="G686" s="105"/>
      <c r="H686" s="105"/>
      <c r="I686" s="105"/>
      <c r="J686" s="105"/>
      <c r="K686" s="136"/>
      <c r="L686" s="105"/>
      <c r="M686" s="105"/>
      <c r="N686" s="105"/>
      <c r="O686" s="105"/>
      <c r="P686" s="135"/>
      <c r="Q686" s="105"/>
      <c r="R686" s="136"/>
      <c r="S686" s="105"/>
      <c r="T686" s="135"/>
      <c r="U686" s="354"/>
      <c r="V686" s="353"/>
      <c r="W686" s="130"/>
      <c r="X686" s="130"/>
      <c r="Y686" s="403"/>
      <c r="Z686" s="404"/>
    </row>
    <row r="687" spans="1:26" s="133" customFormat="1" x14ac:dyDescent="0.25">
      <c r="A687" s="209"/>
      <c r="B687" s="161"/>
      <c r="C687" s="105"/>
      <c r="D687" s="105"/>
      <c r="E687" s="105"/>
      <c r="F687" s="105"/>
      <c r="G687" s="105"/>
      <c r="H687" s="105"/>
      <c r="I687" s="105"/>
      <c r="J687" s="105"/>
      <c r="K687" s="136"/>
      <c r="L687" s="105"/>
      <c r="M687" s="105"/>
      <c r="N687" s="105"/>
      <c r="O687" s="105"/>
      <c r="P687" s="135"/>
      <c r="Q687" s="105"/>
      <c r="R687" s="136"/>
      <c r="S687" s="105"/>
      <c r="T687" s="135"/>
      <c r="U687" s="354"/>
      <c r="V687" s="353"/>
      <c r="W687" s="130"/>
      <c r="X687" s="130"/>
      <c r="Y687" s="403"/>
      <c r="Z687" s="404"/>
    </row>
    <row r="688" spans="1:26" s="133" customFormat="1" x14ac:dyDescent="0.25">
      <c r="A688" s="209"/>
      <c r="B688" s="161"/>
      <c r="C688" s="105"/>
      <c r="D688" s="105"/>
      <c r="E688" s="105"/>
      <c r="F688" s="105"/>
      <c r="G688" s="105"/>
      <c r="H688" s="105"/>
      <c r="I688" s="105"/>
      <c r="J688" s="105"/>
      <c r="K688" s="136"/>
      <c r="L688" s="105"/>
      <c r="M688" s="105"/>
      <c r="N688" s="105"/>
      <c r="O688" s="105"/>
      <c r="P688" s="135"/>
      <c r="Q688" s="105"/>
      <c r="R688" s="136"/>
      <c r="S688" s="105"/>
      <c r="T688" s="135"/>
      <c r="U688" s="354"/>
      <c r="V688" s="353"/>
      <c r="W688" s="130"/>
      <c r="X688" s="130"/>
      <c r="Y688" s="403"/>
      <c r="Z688" s="404"/>
    </row>
    <row r="689" spans="1:26" s="133" customFormat="1" x14ac:dyDescent="0.25">
      <c r="A689" s="209"/>
      <c r="B689" s="161"/>
      <c r="C689" s="105"/>
      <c r="D689" s="105"/>
      <c r="E689" s="105"/>
      <c r="F689" s="105"/>
      <c r="G689" s="105"/>
      <c r="H689" s="105"/>
      <c r="I689" s="105"/>
      <c r="J689" s="105"/>
      <c r="K689" s="136"/>
      <c r="L689" s="105"/>
      <c r="M689" s="105"/>
      <c r="N689" s="105"/>
      <c r="O689" s="105"/>
      <c r="P689" s="135"/>
      <c r="Q689" s="105"/>
      <c r="R689" s="136"/>
      <c r="S689" s="105"/>
      <c r="T689" s="135"/>
      <c r="U689" s="354"/>
      <c r="V689" s="353"/>
      <c r="W689" s="130"/>
      <c r="X689" s="130"/>
      <c r="Y689" s="403"/>
      <c r="Z689" s="404"/>
    </row>
    <row r="690" spans="1:26" s="133" customFormat="1" x14ac:dyDescent="0.25">
      <c r="A690" s="209"/>
      <c r="B690" s="161"/>
      <c r="C690" s="105"/>
      <c r="D690" s="105"/>
      <c r="E690" s="105"/>
      <c r="F690" s="105"/>
      <c r="G690" s="105"/>
      <c r="H690" s="105"/>
      <c r="I690" s="105"/>
      <c r="J690" s="105"/>
      <c r="K690" s="136"/>
      <c r="L690" s="105"/>
      <c r="M690" s="105"/>
      <c r="N690" s="105"/>
      <c r="O690" s="105"/>
      <c r="P690" s="135"/>
      <c r="Q690" s="105"/>
      <c r="R690" s="136"/>
      <c r="S690" s="105"/>
      <c r="T690" s="135"/>
      <c r="U690" s="354"/>
      <c r="V690" s="353"/>
      <c r="W690" s="130"/>
      <c r="X690" s="130"/>
      <c r="Y690" s="403"/>
      <c r="Z690" s="404"/>
    </row>
    <row r="691" spans="1:26" s="133" customFormat="1" x14ac:dyDescent="0.25">
      <c r="A691" s="209"/>
      <c r="B691" s="161"/>
      <c r="C691" s="105"/>
      <c r="D691" s="105"/>
      <c r="E691" s="105"/>
      <c r="F691" s="105"/>
      <c r="G691" s="105"/>
      <c r="H691" s="105"/>
      <c r="I691" s="105"/>
      <c r="J691" s="105"/>
      <c r="K691" s="136"/>
      <c r="L691" s="105"/>
      <c r="M691" s="105"/>
      <c r="N691" s="105"/>
      <c r="O691" s="105"/>
      <c r="P691" s="135"/>
      <c r="Q691" s="105"/>
      <c r="R691" s="136"/>
      <c r="S691" s="105"/>
      <c r="T691" s="135"/>
      <c r="U691" s="354"/>
      <c r="V691" s="353"/>
      <c r="W691" s="130"/>
      <c r="X691" s="130"/>
      <c r="Y691" s="403"/>
      <c r="Z691" s="404"/>
    </row>
    <row r="692" spans="1:26" s="133" customFormat="1" x14ac:dyDescent="0.25">
      <c r="A692" s="209"/>
      <c r="B692" s="161"/>
      <c r="C692" s="105"/>
      <c r="D692" s="105"/>
      <c r="E692" s="105"/>
      <c r="F692" s="105"/>
      <c r="G692" s="105"/>
      <c r="H692" s="105"/>
      <c r="I692" s="105"/>
      <c r="J692" s="105"/>
      <c r="K692" s="136"/>
      <c r="L692" s="105"/>
      <c r="M692" s="105"/>
      <c r="N692" s="105"/>
      <c r="O692" s="105"/>
      <c r="P692" s="135"/>
      <c r="Q692" s="105"/>
      <c r="R692" s="136"/>
      <c r="S692" s="105"/>
      <c r="T692" s="135"/>
      <c r="U692" s="354"/>
      <c r="V692" s="353"/>
      <c r="W692" s="130"/>
      <c r="X692" s="130"/>
      <c r="Y692" s="403"/>
      <c r="Z692" s="404"/>
    </row>
    <row r="693" spans="1:26" s="133" customFormat="1" x14ac:dyDescent="0.25">
      <c r="A693" s="209"/>
      <c r="B693" s="161"/>
      <c r="C693" s="105"/>
      <c r="D693" s="105"/>
      <c r="E693" s="105"/>
      <c r="F693" s="105"/>
      <c r="G693" s="105"/>
      <c r="H693" s="105"/>
      <c r="I693" s="105"/>
      <c r="J693" s="105"/>
      <c r="K693" s="136"/>
      <c r="L693" s="105"/>
      <c r="M693" s="105"/>
      <c r="N693" s="105"/>
      <c r="O693" s="105"/>
      <c r="P693" s="135"/>
      <c r="Q693" s="105"/>
      <c r="R693" s="136"/>
      <c r="S693" s="105"/>
      <c r="T693" s="135"/>
      <c r="U693" s="354"/>
      <c r="V693" s="353"/>
      <c r="W693" s="130"/>
      <c r="X693" s="130"/>
      <c r="Y693" s="403"/>
      <c r="Z693" s="404"/>
    </row>
    <row r="694" spans="1:26" s="133" customFormat="1" x14ac:dyDescent="0.25">
      <c r="A694" s="209"/>
      <c r="B694" s="161"/>
      <c r="C694" s="105"/>
      <c r="D694" s="105"/>
      <c r="E694" s="105"/>
      <c r="F694" s="105"/>
      <c r="G694" s="105"/>
      <c r="H694" s="105"/>
      <c r="I694" s="105"/>
      <c r="J694" s="105"/>
      <c r="K694" s="136"/>
      <c r="L694" s="105"/>
      <c r="M694" s="105"/>
      <c r="N694" s="105"/>
      <c r="O694" s="105"/>
      <c r="P694" s="135"/>
      <c r="Q694" s="105"/>
      <c r="R694" s="136"/>
      <c r="S694" s="105"/>
      <c r="T694" s="135"/>
      <c r="U694" s="354"/>
      <c r="V694" s="353"/>
      <c r="W694" s="130"/>
      <c r="X694" s="130"/>
      <c r="Y694" s="403"/>
      <c r="Z694" s="404"/>
    </row>
    <row r="695" spans="1:26" s="133" customFormat="1" x14ac:dyDescent="0.25">
      <c r="A695" s="209"/>
      <c r="B695" s="161"/>
      <c r="C695" s="105"/>
      <c r="D695" s="105"/>
      <c r="E695" s="105"/>
      <c r="F695" s="105"/>
      <c r="G695" s="105"/>
      <c r="H695" s="105"/>
      <c r="I695" s="105"/>
      <c r="J695" s="105"/>
      <c r="K695" s="136"/>
      <c r="L695" s="105"/>
      <c r="M695" s="105"/>
      <c r="N695" s="105"/>
      <c r="O695" s="105"/>
      <c r="P695" s="135"/>
      <c r="Q695" s="105"/>
      <c r="R695" s="136"/>
      <c r="S695" s="105"/>
      <c r="T695" s="135"/>
      <c r="U695" s="354"/>
      <c r="V695" s="353"/>
      <c r="W695" s="130"/>
      <c r="X695" s="130"/>
      <c r="Y695" s="403"/>
      <c r="Z695" s="404"/>
    </row>
    <row r="696" spans="1:26" s="133" customFormat="1" x14ac:dyDescent="0.25">
      <c r="A696" s="209"/>
      <c r="B696" s="161"/>
      <c r="C696" s="105"/>
      <c r="D696" s="105"/>
      <c r="E696" s="105"/>
      <c r="F696" s="105"/>
      <c r="G696" s="105"/>
      <c r="H696" s="105"/>
      <c r="I696" s="105"/>
      <c r="J696" s="105"/>
      <c r="K696" s="136"/>
      <c r="L696" s="105"/>
      <c r="M696" s="105"/>
      <c r="N696" s="105"/>
      <c r="O696" s="105"/>
      <c r="P696" s="135"/>
      <c r="Q696" s="105"/>
      <c r="R696" s="136"/>
      <c r="S696" s="105"/>
      <c r="T696" s="135"/>
      <c r="U696" s="354"/>
      <c r="V696" s="353"/>
      <c r="W696" s="130"/>
      <c r="X696" s="130"/>
      <c r="Y696" s="403"/>
      <c r="Z696" s="404"/>
    </row>
    <row r="697" spans="1:26" s="133" customFormat="1" x14ac:dyDescent="0.25">
      <c r="A697" s="209"/>
      <c r="B697" s="161"/>
      <c r="C697" s="105"/>
      <c r="D697" s="105"/>
      <c r="E697" s="105"/>
      <c r="F697" s="105"/>
      <c r="G697" s="105"/>
      <c r="H697" s="105"/>
      <c r="I697" s="105"/>
      <c r="J697" s="105"/>
      <c r="K697" s="136"/>
      <c r="L697" s="105"/>
      <c r="M697" s="105"/>
      <c r="N697" s="105"/>
      <c r="O697" s="105"/>
      <c r="P697" s="135"/>
      <c r="Q697" s="105"/>
      <c r="R697" s="136"/>
      <c r="S697" s="105"/>
      <c r="T697" s="135"/>
      <c r="U697" s="354"/>
      <c r="V697" s="353"/>
      <c r="W697" s="130"/>
      <c r="X697" s="130"/>
      <c r="Y697" s="403"/>
      <c r="Z697" s="404"/>
    </row>
    <row r="698" spans="1:26" s="133" customFormat="1" x14ac:dyDescent="0.25">
      <c r="A698" s="209"/>
      <c r="B698" s="161"/>
      <c r="C698" s="105"/>
      <c r="D698" s="105"/>
      <c r="E698" s="105"/>
      <c r="F698" s="105"/>
      <c r="G698" s="105"/>
      <c r="H698" s="105"/>
      <c r="I698" s="105"/>
      <c r="J698" s="105"/>
      <c r="K698" s="136"/>
      <c r="L698" s="105"/>
      <c r="M698" s="105"/>
      <c r="N698" s="105"/>
      <c r="O698" s="105"/>
      <c r="P698" s="135"/>
      <c r="Q698" s="105"/>
      <c r="R698" s="136"/>
      <c r="S698" s="105"/>
      <c r="T698" s="135"/>
      <c r="U698" s="354"/>
      <c r="V698" s="353"/>
      <c r="W698" s="130"/>
      <c r="X698" s="130"/>
      <c r="Y698" s="403"/>
      <c r="Z698" s="404"/>
    </row>
    <row r="699" spans="1:26" s="133" customFormat="1" x14ac:dyDescent="0.25">
      <c r="A699" s="209"/>
      <c r="B699" s="161"/>
      <c r="C699" s="105"/>
      <c r="D699" s="105"/>
      <c r="E699" s="105"/>
      <c r="F699" s="105"/>
      <c r="G699" s="105"/>
      <c r="H699" s="105"/>
      <c r="I699" s="105"/>
      <c r="J699" s="105"/>
      <c r="K699" s="136"/>
      <c r="L699" s="105"/>
      <c r="M699" s="105"/>
      <c r="N699" s="105"/>
      <c r="O699" s="105"/>
      <c r="P699" s="135"/>
      <c r="Q699" s="105"/>
      <c r="R699" s="136"/>
      <c r="S699" s="105"/>
      <c r="T699" s="135"/>
      <c r="U699" s="354"/>
      <c r="V699" s="353"/>
      <c r="W699" s="130"/>
      <c r="X699" s="130"/>
      <c r="Y699" s="403"/>
      <c r="Z699" s="404"/>
    </row>
    <row r="700" spans="1:26" s="133" customFormat="1" x14ac:dyDescent="0.25">
      <c r="A700" s="209"/>
      <c r="B700" s="161"/>
      <c r="C700" s="105"/>
      <c r="D700" s="105"/>
      <c r="E700" s="105"/>
      <c r="F700" s="105"/>
      <c r="G700" s="105"/>
      <c r="H700" s="105"/>
      <c r="I700" s="105"/>
      <c r="J700" s="105"/>
      <c r="K700" s="136"/>
      <c r="L700" s="105"/>
      <c r="M700" s="105"/>
      <c r="N700" s="105"/>
      <c r="O700" s="105"/>
      <c r="P700" s="135"/>
      <c r="Q700" s="105"/>
      <c r="R700" s="136"/>
      <c r="S700" s="105"/>
      <c r="T700" s="135"/>
      <c r="U700" s="354"/>
      <c r="V700" s="353"/>
      <c r="W700" s="130"/>
      <c r="X700" s="130"/>
      <c r="Y700" s="403"/>
      <c r="Z700" s="404"/>
    </row>
    <row r="701" spans="1:26" s="133" customFormat="1" x14ac:dyDescent="0.25">
      <c r="A701" s="209"/>
      <c r="B701" s="161"/>
      <c r="C701" s="105"/>
      <c r="D701" s="105"/>
      <c r="E701" s="105"/>
      <c r="F701" s="105"/>
      <c r="G701" s="105"/>
      <c r="H701" s="105"/>
      <c r="I701" s="105"/>
      <c r="J701" s="105"/>
      <c r="K701" s="136"/>
      <c r="L701" s="105"/>
      <c r="M701" s="105"/>
      <c r="N701" s="105"/>
      <c r="O701" s="105"/>
      <c r="P701" s="135"/>
      <c r="Q701" s="105"/>
      <c r="R701" s="136"/>
      <c r="S701" s="105"/>
      <c r="T701" s="135"/>
      <c r="U701" s="354"/>
      <c r="V701" s="353"/>
      <c r="W701" s="130"/>
      <c r="X701" s="130"/>
      <c r="Y701" s="403"/>
      <c r="Z701" s="404"/>
    </row>
    <row r="702" spans="1:26" s="133" customFormat="1" x14ac:dyDescent="0.25">
      <c r="A702" s="209"/>
      <c r="B702" s="161"/>
      <c r="C702" s="105"/>
      <c r="D702" s="105"/>
      <c r="E702" s="105"/>
      <c r="F702" s="105"/>
      <c r="G702" s="105"/>
      <c r="H702" s="105"/>
      <c r="I702" s="105"/>
      <c r="J702" s="105"/>
      <c r="K702" s="136"/>
      <c r="L702" s="105"/>
      <c r="M702" s="105"/>
      <c r="N702" s="105"/>
      <c r="O702" s="105"/>
      <c r="P702" s="135"/>
      <c r="Q702" s="105"/>
      <c r="R702" s="136"/>
      <c r="S702" s="105"/>
      <c r="T702" s="135"/>
      <c r="U702" s="354"/>
      <c r="V702" s="353"/>
      <c r="W702" s="130"/>
      <c r="X702" s="130"/>
      <c r="Y702" s="403"/>
      <c r="Z702" s="404"/>
    </row>
    <row r="703" spans="1:26" s="133" customFormat="1" x14ac:dyDescent="0.25">
      <c r="A703" s="209"/>
      <c r="B703" s="161"/>
      <c r="C703" s="105"/>
      <c r="D703" s="105"/>
      <c r="E703" s="105"/>
      <c r="F703" s="105"/>
      <c r="G703" s="105"/>
      <c r="H703" s="105"/>
      <c r="I703" s="105"/>
      <c r="J703" s="105"/>
      <c r="K703" s="136"/>
      <c r="L703" s="105"/>
      <c r="M703" s="105"/>
      <c r="N703" s="105"/>
      <c r="O703" s="105"/>
      <c r="P703" s="135"/>
      <c r="Q703" s="105"/>
      <c r="R703" s="136"/>
      <c r="S703" s="105"/>
      <c r="T703" s="135"/>
      <c r="U703" s="354"/>
      <c r="V703" s="353"/>
      <c r="W703" s="130"/>
      <c r="X703" s="130"/>
      <c r="Y703" s="403"/>
      <c r="Z703" s="404"/>
    </row>
    <row r="704" spans="1:26" s="133" customFormat="1" x14ac:dyDescent="0.25">
      <c r="A704" s="209"/>
      <c r="B704" s="161"/>
      <c r="C704" s="105"/>
      <c r="D704" s="105"/>
      <c r="E704" s="105"/>
      <c r="F704" s="105"/>
      <c r="G704" s="105"/>
      <c r="H704" s="105"/>
      <c r="I704" s="105"/>
      <c r="J704" s="105"/>
      <c r="K704" s="136"/>
      <c r="L704" s="105"/>
      <c r="M704" s="105"/>
      <c r="N704" s="105"/>
      <c r="O704" s="105"/>
      <c r="P704" s="135"/>
      <c r="Q704" s="105"/>
      <c r="R704" s="136"/>
      <c r="S704" s="105"/>
      <c r="T704" s="135"/>
      <c r="U704" s="354"/>
      <c r="V704" s="353"/>
      <c r="W704" s="130"/>
      <c r="X704" s="130"/>
      <c r="Y704" s="403"/>
      <c r="Z704" s="404"/>
    </row>
    <row r="705" spans="1:26" s="133" customFormat="1" x14ac:dyDescent="0.25">
      <c r="A705" s="209"/>
      <c r="B705" s="161"/>
      <c r="C705" s="105"/>
      <c r="D705" s="105"/>
      <c r="E705" s="105"/>
      <c r="F705" s="105"/>
      <c r="G705" s="105"/>
      <c r="H705" s="105"/>
      <c r="I705" s="105"/>
      <c r="J705" s="105"/>
      <c r="K705" s="136"/>
      <c r="L705" s="105"/>
      <c r="M705" s="105"/>
      <c r="N705" s="105"/>
      <c r="O705" s="105"/>
      <c r="P705" s="135"/>
      <c r="Q705" s="105"/>
      <c r="R705" s="136"/>
      <c r="S705" s="105"/>
      <c r="T705" s="135"/>
      <c r="U705" s="354"/>
      <c r="V705" s="353"/>
      <c r="W705" s="130"/>
      <c r="X705" s="130"/>
      <c r="Y705" s="403"/>
      <c r="Z705" s="404"/>
    </row>
    <row r="706" spans="1:26" s="133" customFormat="1" x14ac:dyDescent="0.25">
      <c r="A706" s="209"/>
      <c r="B706" s="161"/>
      <c r="C706" s="105"/>
      <c r="D706" s="105"/>
      <c r="E706" s="105"/>
      <c r="F706" s="105"/>
      <c r="G706" s="105"/>
      <c r="H706" s="105"/>
      <c r="I706" s="105"/>
      <c r="J706" s="105"/>
      <c r="K706" s="136"/>
      <c r="L706" s="105"/>
      <c r="M706" s="105"/>
      <c r="N706" s="105"/>
      <c r="O706" s="105"/>
      <c r="P706" s="135"/>
      <c r="Q706" s="105"/>
      <c r="R706" s="136"/>
      <c r="S706" s="105"/>
      <c r="T706" s="135"/>
      <c r="U706" s="354"/>
      <c r="V706" s="353"/>
      <c r="W706" s="130"/>
      <c r="X706" s="130"/>
      <c r="Y706" s="403"/>
      <c r="Z706" s="404"/>
    </row>
    <row r="707" spans="1:26" s="133" customFormat="1" x14ac:dyDescent="0.25">
      <c r="A707" s="209"/>
      <c r="B707" s="161"/>
      <c r="C707" s="105"/>
      <c r="D707" s="105"/>
      <c r="E707" s="105"/>
      <c r="F707" s="105"/>
      <c r="G707" s="105"/>
      <c r="H707" s="105"/>
      <c r="I707" s="105"/>
      <c r="J707" s="105"/>
      <c r="K707" s="136"/>
      <c r="L707" s="105"/>
      <c r="M707" s="105"/>
      <c r="N707" s="105"/>
      <c r="O707" s="105"/>
      <c r="P707" s="135"/>
      <c r="Q707" s="105"/>
      <c r="R707" s="136"/>
      <c r="S707" s="105"/>
      <c r="T707" s="135"/>
      <c r="U707" s="354"/>
      <c r="V707" s="353"/>
      <c r="W707" s="130"/>
      <c r="X707" s="130"/>
      <c r="Y707" s="403"/>
      <c r="Z707" s="404"/>
    </row>
    <row r="708" spans="1:26" s="133" customFormat="1" x14ac:dyDescent="0.25">
      <c r="A708" s="209"/>
      <c r="B708" s="161"/>
      <c r="C708" s="105"/>
      <c r="D708" s="105"/>
      <c r="E708" s="105"/>
      <c r="F708" s="105"/>
      <c r="G708" s="105"/>
      <c r="H708" s="105"/>
      <c r="I708" s="105"/>
      <c r="J708" s="105"/>
      <c r="K708" s="136"/>
      <c r="L708" s="105"/>
      <c r="M708" s="105"/>
      <c r="N708" s="105"/>
      <c r="O708" s="105"/>
      <c r="P708" s="135"/>
      <c r="Q708" s="105"/>
      <c r="R708" s="136"/>
      <c r="S708" s="105"/>
      <c r="T708" s="135"/>
      <c r="U708" s="354"/>
      <c r="V708" s="353"/>
      <c r="W708" s="130"/>
      <c r="X708" s="130"/>
      <c r="Y708" s="403"/>
      <c r="Z708" s="404"/>
    </row>
    <row r="709" spans="1:26" s="133" customFormat="1" x14ac:dyDescent="0.25">
      <c r="A709" s="209"/>
      <c r="B709" s="161"/>
      <c r="C709" s="105"/>
      <c r="D709" s="105"/>
      <c r="E709" s="105"/>
      <c r="F709" s="105"/>
      <c r="G709" s="105"/>
      <c r="H709" s="105"/>
      <c r="I709" s="105"/>
      <c r="J709" s="105"/>
      <c r="K709" s="136"/>
      <c r="L709" s="105"/>
      <c r="M709" s="105"/>
      <c r="N709" s="105"/>
      <c r="O709" s="105"/>
      <c r="P709" s="135"/>
      <c r="Q709" s="105"/>
      <c r="R709" s="136"/>
      <c r="S709" s="105"/>
      <c r="T709" s="135"/>
      <c r="U709" s="354"/>
      <c r="V709" s="353"/>
      <c r="W709" s="130"/>
      <c r="X709" s="130"/>
      <c r="Y709" s="403"/>
      <c r="Z709" s="404"/>
    </row>
    <row r="710" spans="1:26" s="133" customFormat="1" x14ac:dyDescent="0.25">
      <c r="A710" s="209"/>
      <c r="B710" s="161"/>
      <c r="C710" s="105"/>
      <c r="D710" s="105"/>
      <c r="E710" s="105"/>
      <c r="F710" s="105"/>
      <c r="G710" s="105"/>
      <c r="H710" s="105"/>
      <c r="I710" s="105"/>
      <c r="J710" s="105"/>
      <c r="K710" s="136"/>
      <c r="L710" s="105"/>
      <c r="M710" s="105"/>
      <c r="N710" s="105"/>
      <c r="O710" s="105"/>
      <c r="P710" s="135"/>
      <c r="Q710" s="105"/>
      <c r="R710" s="136"/>
      <c r="S710" s="105"/>
      <c r="T710" s="135"/>
      <c r="U710" s="354"/>
      <c r="V710" s="353"/>
      <c r="W710" s="130"/>
      <c r="X710" s="130"/>
      <c r="Y710" s="403"/>
      <c r="Z710" s="404"/>
    </row>
    <row r="711" spans="1:26" s="133" customFormat="1" x14ac:dyDescent="0.25">
      <c r="A711" s="209"/>
      <c r="B711" s="161"/>
      <c r="C711" s="105"/>
      <c r="D711" s="105"/>
      <c r="E711" s="105"/>
      <c r="F711" s="105"/>
      <c r="G711" s="105"/>
      <c r="H711" s="105"/>
      <c r="I711" s="105"/>
      <c r="J711" s="105"/>
      <c r="K711" s="136"/>
      <c r="L711" s="105"/>
      <c r="M711" s="105"/>
      <c r="N711" s="105"/>
      <c r="O711" s="105"/>
      <c r="P711" s="135"/>
      <c r="Q711" s="105"/>
      <c r="R711" s="136"/>
      <c r="S711" s="105"/>
      <c r="T711" s="135"/>
      <c r="U711" s="354"/>
      <c r="V711" s="353"/>
      <c r="W711" s="130"/>
      <c r="X711" s="130"/>
      <c r="Y711" s="403"/>
      <c r="Z711" s="404"/>
    </row>
    <row r="712" spans="1:26" s="133" customFormat="1" x14ac:dyDescent="0.25">
      <c r="A712" s="209"/>
      <c r="B712" s="161"/>
      <c r="C712" s="105"/>
      <c r="D712" s="105"/>
      <c r="E712" s="105"/>
      <c r="F712" s="105"/>
      <c r="G712" s="105"/>
      <c r="H712" s="105"/>
      <c r="I712" s="105"/>
      <c r="J712" s="105"/>
      <c r="K712" s="136"/>
      <c r="L712" s="105"/>
      <c r="M712" s="105"/>
      <c r="N712" s="105"/>
      <c r="O712" s="105"/>
      <c r="P712" s="135"/>
      <c r="Q712" s="105"/>
      <c r="R712" s="136"/>
      <c r="S712" s="105"/>
      <c r="T712" s="135"/>
      <c r="U712" s="354"/>
      <c r="V712" s="353"/>
      <c r="W712" s="130"/>
      <c r="X712" s="130"/>
      <c r="Y712" s="403"/>
      <c r="Z712" s="404"/>
    </row>
    <row r="713" spans="1:26" s="133" customFormat="1" x14ac:dyDescent="0.25">
      <c r="A713" s="209"/>
      <c r="B713" s="161"/>
      <c r="C713" s="105"/>
      <c r="D713" s="105"/>
      <c r="E713" s="105"/>
      <c r="F713" s="105"/>
      <c r="G713" s="105"/>
      <c r="H713" s="105"/>
      <c r="I713" s="105"/>
      <c r="J713" s="105"/>
      <c r="K713" s="136"/>
      <c r="L713" s="105"/>
      <c r="M713" s="105"/>
      <c r="N713" s="105"/>
      <c r="O713" s="105"/>
      <c r="P713" s="135"/>
      <c r="Q713" s="105"/>
      <c r="R713" s="136"/>
      <c r="S713" s="105"/>
      <c r="T713" s="135"/>
      <c r="U713" s="354"/>
      <c r="V713" s="353"/>
      <c r="W713" s="130"/>
      <c r="X713" s="130"/>
      <c r="Y713" s="403"/>
      <c r="Z713" s="404"/>
    </row>
    <row r="714" spans="1:26" s="133" customFormat="1" x14ac:dyDescent="0.25">
      <c r="A714" s="209"/>
      <c r="B714" s="161"/>
      <c r="C714" s="105"/>
      <c r="D714" s="105"/>
      <c r="E714" s="105"/>
      <c r="F714" s="105"/>
      <c r="G714" s="105"/>
      <c r="H714" s="105"/>
      <c r="I714" s="105"/>
      <c r="J714" s="105"/>
      <c r="K714" s="136"/>
      <c r="L714" s="105"/>
      <c r="M714" s="105"/>
      <c r="N714" s="105"/>
      <c r="O714" s="105"/>
      <c r="P714" s="135"/>
      <c r="Q714" s="105"/>
      <c r="R714" s="136"/>
      <c r="S714" s="105"/>
      <c r="T714" s="135"/>
      <c r="U714" s="354"/>
      <c r="V714" s="353"/>
      <c r="W714" s="130"/>
      <c r="X714" s="130"/>
      <c r="Y714" s="403"/>
      <c r="Z714" s="404"/>
    </row>
    <row r="715" spans="1:26" s="133" customFormat="1" x14ac:dyDescent="0.25">
      <c r="A715" s="209"/>
      <c r="B715" s="161"/>
      <c r="C715" s="105"/>
      <c r="D715" s="105"/>
      <c r="E715" s="105"/>
      <c r="F715" s="105"/>
      <c r="G715" s="105"/>
      <c r="H715" s="105"/>
      <c r="I715" s="105"/>
      <c r="J715" s="105"/>
      <c r="K715" s="136"/>
      <c r="L715" s="105"/>
      <c r="M715" s="105"/>
      <c r="N715" s="105"/>
      <c r="O715" s="105"/>
      <c r="P715" s="135"/>
      <c r="Q715" s="105"/>
      <c r="R715" s="136"/>
      <c r="S715" s="105"/>
      <c r="T715" s="135"/>
      <c r="U715" s="354"/>
      <c r="V715" s="353"/>
      <c r="W715" s="130"/>
      <c r="X715" s="130"/>
      <c r="Y715" s="403"/>
      <c r="Z715" s="404"/>
    </row>
    <row r="716" spans="1:26" s="133" customFormat="1" x14ac:dyDescent="0.25">
      <c r="A716" s="209"/>
      <c r="B716" s="161"/>
      <c r="C716" s="105"/>
      <c r="D716" s="105"/>
      <c r="E716" s="105"/>
      <c r="F716" s="105"/>
      <c r="G716" s="105"/>
      <c r="H716" s="105"/>
      <c r="I716" s="105"/>
      <c r="J716" s="105"/>
      <c r="K716" s="136"/>
      <c r="L716" s="105"/>
      <c r="M716" s="105"/>
      <c r="N716" s="105"/>
      <c r="O716" s="105"/>
      <c r="P716" s="135"/>
      <c r="Q716" s="105"/>
      <c r="R716" s="136"/>
      <c r="S716" s="105"/>
      <c r="T716" s="135"/>
      <c r="U716" s="354"/>
      <c r="V716" s="353"/>
      <c r="W716" s="130"/>
      <c r="X716" s="130"/>
      <c r="Y716" s="403"/>
      <c r="Z716" s="404"/>
    </row>
    <row r="717" spans="1:26" s="133" customFormat="1" x14ac:dyDescent="0.25">
      <c r="A717" s="209"/>
      <c r="B717" s="161"/>
      <c r="C717" s="105"/>
      <c r="D717" s="105"/>
      <c r="E717" s="105"/>
      <c r="F717" s="105"/>
      <c r="G717" s="105"/>
      <c r="H717" s="105"/>
      <c r="I717" s="105"/>
      <c r="J717" s="105"/>
      <c r="K717" s="136"/>
      <c r="L717" s="105"/>
      <c r="M717" s="105"/>
      <c r="N717" s="105"/>
      <c r="O717" s="105"/>
      <c r="P717" s="135"/>
      <c r="Q717" s="105"/>
      <c r="R717" s="136"/>
      <c r="S717" s="105"/>
      <c r="T717" s="135"/>
      <c r="U717" s="354"/>
      <c r="V717" s="353"/>
      <c r="W717" s="130"/>
      <c r="X717" s="130"/>
      <c r="Y717" s="403"/>
      <c r="Z717" s="404"/>
    </row>
    <row r="718" spans="1:26" s="133" customFormat="1" x14ac:dyDescent="0.25">
      <c r="A718" s="209"/>
      <c r="B718" s="161"/>
      <c r="C718" s="105"/>
      <c r="D718" s="105"/>
      <c r="E718" s="105"/>
      <c r="F718" s="105"/>
      <c r="G718" s="105"/>
      <c r="H718" s="105"/>
      <c r="I718" s="105"/>
      <c r="J718" s="105"/>
      <c r="K718" s="136"/>
      <c r="L718" s="105"/>
      <c r="M718" s="105"/>
      <c r="N718" s="105"/>
      <c r="O718" s="105"/>
      <c r="P718" s="135"/>
      <c r="Q718" s="105"/>
      <c r="R718" s="136"/>
      <c r="S718" s="105"/>
      <c r="T718" s="135"/>
      <c r="U718" s="354"/>
      <c r="V718" s="353"/>
      <c r="W718" s="130"/>
      <c r="X718" s="130"/>
      <c r="Y718" s="403"/>
      <c r="Z718" s="404"/>
    </row>
    <row r="719" spans="1:26" s="133" customFormat="1" x14ac:dyDescent="0.25">
      <c r="A719" s="209"/>
      <c r="B719" s="161"/>
      <c r="C719" s="105"/>
      <c r="D719" s="105"/>
      <c r="E719" s="105"/>
      <c r="F719" s="105"/>
      <c r="G719" s="105"/>
      <c r="H719" s="105"/>
      <c r="I719" s="105"/>
      <c r="J719" s="105"/>
      <c r="K719" s="136"/>
      <c r="L719" s="105"/>
      <c r="M719" s="105"/>
      <c r="N719" s="105"/>
      <c r="O719" s="105"/>
      <c r="P719" s="135"/>
      <c r="Q719" s="105"/>
      <c r="R719" s="136"/>
      <c r="S719" s="105"/>
      <c r="T719" s="135"/>
      <c r="U719" s="354"/>
      <c r="V719" s="353"/>
      <c r="W719" s="130"/>
      <c r="X719" s="130"/>
      <c r="Y719" s="403"/>
      <c r="Z719" s="404"/>
    </row>
    <row r="720" spans="1:26" s="133" customFormat="1" x14ac:dyDescent="0.25">
      <c r="A720" s="209"/>
      <c r="B720" s="161"/>
      <c r="C720" s="105"/>
      <c r="D720" s="105"/>
      <c r="E720" s="105"/>
      <c r="F720" s="105"/>
      <c r="G720" s="105"/>
      <c r="H720" s="105"/>
      <c r="I720" s="105"/>
      <c r="J720" s="105"/>
      <c r="K720" s="136"/>
      <c r="L720" s="105"/>
      <c r="M720" s="105"/>
      <c r="N720" s="105"/>
      <c r="O720" s="105"/>
      <c r="P720" s="135"/>
      <c r="Q720" s="105"/>
      <c r="R720" s="136"/>
      <c r="S720" s="105"/>
      <c r="T720" s="135"/>
      <c r="U720" s="354"/>
      <c r="V720" s="353"/>
      <c r="W720" s="130"/>
      <c r="X720" s="130"/>
      <c r="Y720" s="403"/>
      <c r="Z720" s="404"/>
    </row>
    <row r="721" spans="1:26" s="133" customFormat="1" x14ac:dyDescent="0.25">
      <c r="A721" s="209"/>
      <c r="B721" s="161"/>
      <c r="C721" s="105"/>
      <c r="D721" s="105"/>
      <c r="E721" s="105"/>
      <c r="F721" s="105"/>
      <c r="G721" s="105"/>
      <c r="H721" s="105"/>
      <c r="I721" s="105"/>
      <c r="J721" s="105"/>
      <c r="K721" s="136"/>
      <c r="L721" s="105"/>
      <c r="M721" s="105"/>
      <c r="N721" s="105"/>
      <c r="O721" s="105"/>
      <c r="P721" s="135"/>
      <c r="Q721" s="105"/>
      <c r="R721" s="136"/>
      <c r="S721" s="105"/>
      <c r="T721" s="135"/>
      <c r="U721" s="354"/>
      <c r="V721" s="353"/>
      <c r="W721" s="130"/>
      <c r="X721" s="130"/>
      <c r="Y721" s="403"/>
      <c r="Z721" s="404"/>
    </row>
    <row r="722" spans="1:26" s="133" customFormat="1" x14ac:dyDescent="0.25">
      <c r="A722" s="209"/>
      <c r="B722" s="161"/>
      <c r="C722" s="105"/>
      <c r="D722" s="105"/>
      <c r="E722" s="105"/>
      <c r="F722" s="105"/>
      <c r="G722" s="105"/>
      <c r="H722" s="105"/>
      <c r="I722" s="105"/>
      <c r="J722" s="105"/>
      <c r="K722" s="136"/>
      <c r="L722" s="105"/>
      <c r="M722" s="105"/>
      <c r="N722" s="105"/>
      <c r="O722" s="105"/>
      <c r="P722" s="135"/>
      <c r="Q722" s="105"/>
      <c r="R722" s="136"/>
      <c r="S722" s="105"/>
      <c r="T722" s="135"/>
      <c r="U722" s="354"/>
      <c r="V722" s="353"/>
      <c r="W722" s="130"/>
      <c r="X722" s="130"/>
      <c r="Y722" s="403"/>
      <c r="Z722" s="404"/>
    </row>
    <row r="723" spans="1:26" s="133" customFormat="1" x14ac:dyDescent="0.25">
      <c r="A723" s="209"/>
      <c r="B723" s="161"/>
      <c r="C723" s="105"/>
      <c r="D723" s="105"/>
      <c r="E723" s="105"/>
      <c r="F723" s="105"/>
      <c r="G723" s="105"/>
      <c r="H723" s="105"/>
      <c r="I723" s="105"/>
      <c r="J723" s="105"/>
      <c r="K723" s="136"/>
      <c r="L723" s="105"/>
      <c r="M723" s="105"/>
      <c r="N723" s="105"/>
      <c r="O723" s="105"/>
      <c r="P723" s="135"/>
      <c r="Q723" s="105"/>
      <c r="R723" s="136"/>
      <c r="S723" s="105"/>
      <c r="T723" s="135"/>
      <c r="U723" s="354"/>
      <c r="V723" s="353"/>
      <c r="W723" s="130"/>
      <c r="X723" s="130"/>
      <c r="Y723" s="403"/>
      <c r="Z723" s="404"/>
    </row>
    <row r="724" spans="1:26" s="133" customFormat="1" x14ac:dyDescent="0.25">
      <c r="A724" s="209"/>
      <c r="B724" s="161"/>
      <c r="C724" s="105"/>
      <c r="D724" s="105"/>
      <c r="E724" s="105"/>
      <c r="F724" s="105"/>
      <c r="G724" s="105"/>
      <c r="H724" s="105"/>
      <c r="I724" s="105"/>
      <c r="J724" s="105"/>
      <c r="K724" s="136"/>
      <c r="L724" s="105"/>
      <c r="M724" s="105"/>
      <c r="N724" s="105"/>
      <c r="O724" s="105"/>
      <c r="P724" s="135"/>
      <c r="Q724" s="105"/>
      <c r="R724" s="136"/>
      <c r="S724" s="105"/>
      <c r="T724" s="135"/>
      <c r="U724" s="354"/>
      <c r="V724" s="353"/>
      <c r="W724" s="130"/>
      <c r="X724" s="130"/>
      <c r="Y724" s="403"/>
      <c r="Z724" s="404"/>
    </row>
    <row r="725" spans="1:26" s="133" customFormat="1" x14ac:dyDescent="0.25">
      <c r="A725" s="209"/>
      <c r="B725" s="161"/>
      <c r="C725" s="105"/>
      <c r="D725" s="105"/>
      <c r="E725" s="105"/>
      <c r="F725" s="105"/>
      <c r="G725" s="105"/>
      <c r="H725" s="105"/>
      <c r="I725" s="105"/>
      <c r="J725" s="105"/>
      <c r="K725" s="136"/>
      <c r="L725" s="105"/>
      <c r="M725" s="105"/>
      <c r="N725" s="105"/>
      <c r="O725" s="105"/>
      <c r="P725" s="135"/>
      <c r="Q725" s="105"/>
      <c r="R725" s="136"/>
      <c r="S725" s="105"/>
      <c r="T725" s="135"/>
      <c r="U725" s="354"/>
      <c r="V725" s="353"/>
      <c r="W725" s="130"/>
      <c r="X725" s="130"/>
      <c r="Y725" s="403"/>
      <c r="Z725" s="404"/>
    </row>
    <row r="726" spans="1:26" s="133" customFormat="1" x14ac:dyDescent="0.25">
      <c r="A726" s="209"/>
      <c r="B726" s="161"/>
      <c r="C726" s="105"/>
      <c r="D726" s="105"/>
      <c r="E726" s="105"/>
      <c r="F726" s="105"/>
      <c r="G726" s="105"/>
      <c r="H726" s="105"/>
      <c r="I726" s="105"/>
      <c r="J726" s="105"/>
      <c r="K726" s="136"/>
      <c r="L726" s="105"/>
      <c r="M726" s="105"/>
      <c r="N726" s="105"/>
      <c r="O726" s="105"/>
      <c r="P726" s="135"/>
      <c r="Q726" s="105"/>
      <c r="R726" s="136"/>
      <c r="S726" s="105"/>
      <c r="T726" s="135"/>
      <c r="U726" s="354"/>
      <c r="V726" s="353"/>
      <c r="W726" s="130"/>
      <c r="X726" s="130"/>
      <c r="Y726" s="403"/>
      <c r="Z726" s="404"/>
    </row>
    <row r="727" spans="1:26" s="133" customFormat="1" x14ac:dyDescent="0.25">
      <c r="A727" s="209"/>
      <c r="B727" s="161"/>
      <c r="C727" s="105"/>
      <c r="D727" s="105"/>
      <c r="E727" s="105"/>
      <c r="F727" s="105"/>
      <c r="G727" s="105"/>
      <c r="H727" s="105"/>
      <c r="I727" s="105"/>
      <c r="J727" s="105"/>
      <c r="K727" s="136"/>
      <c r="L727" s="105"/>
      <c r="M727" s="105"/>
      <c r="N727" s="105"/>
      <c r="O727" s="105"/>
      <c r="P727" s="135"/>
      <c r="Q727" s="105"/>
      <c r="R727" s="136"/>
      <c r="S727" s="105"/>
      <c r="T727" s="135"/>
      <c r="U727" s="354"/>
      <c r="V727" s="353"/>
      <c r="W727" s="130"/>
      <c r="X727" s="130"/>
      <c r="Y727" s="403"/>
      <c r="Z727" s="404"/>
    </row>
    <row r="728" spans="1:26" s="133" customFormat="1" x14ac:dyDescent="0.25">
      <c r="A728" s="209"/>
      <c r="B728" s="161"/>
      <c r="C728" s="105"/>
      <c r="D728" s="105"/>
      <c r="E728" s="105"/>
      <c r="F728" s="105"/>
      <c r="G728" s="105"/>
      <c r="H728" s="105"/>
      <c r="I728" s="105"/>
      <c r="J728" s="105"/>
      <c r="K728" s="136"/>
      <c r="L728" s="105"/>
      <c r="M728" s="105"/>
      <c r="N728" s="105"/>
      <c r="O728" s="105"/>
      <c r="P728" s="135"/>
      <c r="Q728" s="105"/>
      <c r="R728" s="136"/>
      <c r="S728" s="105"/>
      <c r="T728" s="135"/>
      <c r="U728" s="354"/>
      <c r="V728" s="353"/>
      <c r="W728" s="130"/>
      <c r="X728" s="130"/>
      <c r="Y728" s="403"/>
      <c r="Z728" s="404"/>
    </row>
    <row r="729" spans="1:26" s="133" customFormat="1" x14ac:dyDescent="0.25">
      <c r="A729" s="209"/>
      <c r="B729" s="161"/>
      <c r="C729" s="105"/>
      <c r="D729" s="105"/>
      <c r="E729" s="105"/>
      <c r="F729" s="105"/>
      <c r="G729" s="105"/>
      <c r="H729" s="105"/>
      <c r="I729" s="105"/>
      <c r="J729" s="105"/>
      <c r="K729" s="136"/>
      <c r="L729" s="105"/>
      <c r="M729" s="105"/>
      <c r="N729" s="105"/>
      <c r="O729" s="105"/>
      <c r="P729" s="135"/>
      <c r="Q729" s="105"/>
      <c r="R729" s="136"/>
      <c r="S729" s="105"/>
      <c r="T729" s="135"/>
      <c r="U729" s="354"/>
      <c r="V729" s="353"/>
      <c r="W729" s="130"/>
      <c r="X729" s="130"/>
      <c r="Y729" s="403"/>
      <c r="Z729" s="404"/>
    </row>
    <row r="730" spans="1:26" s="133" customFormat="1" x14ac:dyDescent="0.25">
      <c r="A730" s="209"/>
      <c r="B730" s="161"/>
      <c r="C730" s="105"/>
      <c r="D730" s="105"/>
      <c r="E730" s="105"/>
      <c r="F730" s="105"/>
      <c r="G730" s="105"/>
      <c r="H730" s="105"/>
      <c r="I730" s="105"/>
      <c r="J730" s="105"/>
      <c r="K730" s="136"/>
      <c r="L730" s="105"/>
      <c r="M730" s="105"/>
      <c r="N730" s="105"/>
      <c r="O730" s="105"/>
      <c r="P730" s="135"/>
      <c r="Q730" s="105"/>
      <c r="R730" s="136"/>
      <c r="S730" s="105"/>
      <c r="T730" s="135"/>
      <c r="U730" s="354"/>
      <c r="V730" s="353"/>
      <c r="W730" s="130"/>
      <c r="X730" s="130"/>
      <c r="Y730" s="403"/>
      <c r="Z730" s="404"/>
    </row>
    <row r="731" spans="1:26" s="133" customFormat="1" x14ac:dyDescent="0.25">
      <c r="A731" s="209"/>
      <c r="B731" s="161"/>
      <c r="C731" s="105"/>
      <c r="D731" s="105"/>
      <c r="E731" s="105"/>
      <c r="F731" s="105"/>
      <c r="G731" s="105"/>
      <c r="H731" s="105"/>
      <c r="I731" s="105"/>
      <c r="J731" s="105"/>
      <c r="K731" s="136"/>
      <c r="L731" s="105"/>
      <c r="M731" s="105"/>
      <c r="N731" s="105"/>
      <c r="O731" s="105"/>
      <c r="P731" s="135"/>
      <c r="Q731" s="105"/>
      <c r="R731" s="136"/>
      <c r="S731" s="105"/>
      <c r="T731" s="135"/>
      <c r="U731" s="354"/>
      <c r="V731" s="353"/>
      <c r="W731" s="130"/>
      <c r="X731" s="130"/>
      <c r="Y731" s="403"/>
      <c r="Z731" s="404"/>
    </row>
    <row r="732" spans="1:26" s="133" customFormat="1" x14ac:dyDescent="0.25">
      <c r="A732" s="209"/>
      <c r="B732" s="161"/>
      <c r="C732" s="105"/>
      <c r="D732" s="105"/>
      <c r="E732" s="105"/>
      <c r="F732" s="105"/>
      <c r="G732" s="105"/>
      <c r="H732" s="105"/>
      <c r="I732" s="105"/>
      <c r="J732" s="105"/>
      <c r="K732" s="136"/>
      <c r="L732" s="105"/>
      <c r="M732" s="105"/>
      <c r="N732" s="105"/>
      <c r="O732" s="105"/>
      <c r="P732" s="135"/>
      <c r="Q732" s="105"/>
      <c r="R732" s="136"/>
      <c r="S732" s="105"/>
      <c r="T732" s="135"/>
      <c r="U732" s="354"/>
      <c r="V732" s="353"/>
      <c r="W732" s="130"/>
      <c r="X732" s="130"/>
      <c r="Y732" s="403"/>
      <c r="Z732" s="404"/>
    </row>
    <row r="733" spans="1:26" s="133" customFormat="1" x14ac:dyDescent="0.25">
      <c r="A733" s="209"/>
      <c r="B733" s="161"/>
      <c r="C733" s="105"/>
      <c r="D733" s="105"/>
      <c r="E733" s="105"/>
      <c r="F733" s="105"/>
      <c r="G733" s="105"/>
      <c r="H733" s="105"/>
      <c r="I733" s="105"/>
      <c r="J733" s="105"/>
      <c r="K733" s="136"/>
      <c r="L733" s="105"/>
      <c r="M733" s="105"/>
      <c r="N733" s="105"/>
      <c r="O733" s="105"/>
      <c r="P733" s="135"/>
      <c r="Q733" s="105"/>
      <c r="R733" s="136"/>
      <c r="S733" s="105"/>
      <c r="T733" s="135"/>
      <c r="U733" s="354"/>
      <c r="V733" s="353"/>
      <c r="W733" s="130"/>
      <c r="X733" s="130"/>
      <c r="Y733" s="403"/>
      <c r="Z733" s="404"/>
    </row>
    <row r="734" spans="1:26" s="133" customFormat="1" x14ac:dyDescent="0.25">
      <c r="A734" s="209"/>
      <c r="B734" s="161"/>
      <c r="C734" s="105"/>
      <c r="D734" s="105"/>
      <c r="E734" s="105"/>
      <c r="F734" s="105"/>
      <c r="G734" s="105"/>
      <c r="H734" s="105"/>
      <c r="I734" s="105"/>
      <c r="J734" s="105"/>
      <c r="K734" s="136"/>
      <c r="L734" s="105"/>
      <c r="M734" s="105"/>
      <c r="N734" s="105"/>
      <c r="O734" s="105"/>
      <c r="P734" s="135"/>
      <c r="Q734" s="105"/>
      <c r="R734" s="136"/>
      <c r="S734" s="105"/>
      <c r="T734" s="135"/>
      <c r="U734" s="354"/>
      <c r="V734" s="353"/>
      <c r="W734" s="130"/>
      <c r="X734" s="130"/>
      <c r="Y734" s="403"/>
      <c r="Z734" s="404"/>
    </row>
    <row r="735" spans="1:26" s="133" customFormat="1" x14ac:dyDescent="0.25">
      <c r="A735" s="209"/>
      <c r="B735" s="161"/>
      <c r="C735" s="105"/>
      <c r="D735" s="105"/>
      <c r="E735" s="105"/>
      <c r="F735" s="105"/>
      <c r="G735" s="105"/>
      <c r="H735" s="105"/>
      <c r="I735" s="105"/>
      <c r="J735" s="105"/>
      <c r="K735" s="136"/>
      <c r="L735" s="105"/>
      <c r="M735" s="105"/>
      <c r="N735" s="105"/>
      <c r="O735" s="105"/>
      <c r="P735" s="135"/>
      <c r="Q735" s="105"/>
      <c r="R735" s="136"/>
      <c r="S735" s="105"/>
      <c r="T735" s="135"/>
      <c r="U735" s="354"/>
      <c r="V735" s="353"/>
      <c r="W735" s="130"/>
      <c r="X735" s="130"/>
      <c r="Y735" s="403"/>
      <c r="Z735" s="404"/>
    </row>
    <row r="736" spans="1:26" s="133" customFormat="1" x14ac:dyDescent="0.25">
      <c r="A736" s="209"/>
      <c r="B736" s="161"/>
      <c r="C736" s="105"/>
      <c r="D736" s="105"/>
      <c r="E736" s="105"/>
      <c r="F736" s="105"/>
      <c r="G736" s="105"/>
      <c r="H736" s="105"/>
      <c r="I736" s="105"/>
      <c r="J736" s="105"/>
      <c r="K736" s="136"/>
      <c r="L736" s="105"/>
      <c r="M736" s="105"/>
      <c r="N736" s="105"/>
      <c r="O736" s="105"/>
      <c r="P736" s="135"/>
      <c r="Q736" s="105"/>
      <c r="R736" s="136"/>
      <c r="S736" s="105"/>
      <c r="T736" s="135"/>
      <c r="U736" s="354"/>
      <c r="V736" s="353"/>
      <c r="W736" s="130"/>
      <c r="X736" s="130"/>
      <c r="Y736" s="403"/>
      <c r="Z736" s="404"/>
    </row>
    <row r="737" spans="1:26" s="133" customFormat="1" x14ac:dyDescent="0.25">
      <c r="A737" s="209"/>
      <c r="B737" s="161"/>
      <c r="C737" s="105"/>
      <c r="D737" s="105"/>
      <c r="E737" s="105"/>
      <c r="F737" s="105"/>
      <c r="G737" s="105"/>
      <c r="H737" s="105"/>
      <c r="I737" s="105"/>
      <c r="J737" s="105"/>
      <c r="K737" s="136"/>
      <c r="L737" s="105"/>
      <c r="M737" s="105"/>
      <c r="N737" s="105"/>
      <c r="O737" s="105"/>
      <c r="P737" s="135"/>
      <c r="Q737" s="105"/>
      <c r="R737" s="136"/>
      <c r="S737" s="105"/>
      <c r="T737" s="135"/>
      <c r="U737" s="354"/>
      <c r="V737" s="353"/>
      <c r="W737" s="130"/>
      <c r="X737" s="130"/>
      <c r="Y737" s="403"/>
      <c r="Z737" s="404"/>
    </row>
    <row r="738" spans="1:26" s="133" customFormat="1" x14ac:dyDescent="0.25">
      <c r="A738" s="209"/>
      <c r="B738" s="161"/>
      <c r="C738" s="105"/>
      <c r="D738" s="105"/>
      <c r="E738" s="105"/>
      <c r="F738" s="105"/>
      <c r="G738" s="105"/>
      <c r="H738" s="105"/>
      <c r="I738" s="105"/>
      <c r="J738" s="105"/>
      <c r="K738" s="136"/>
      <c r="L738" s="105"/>
      <c r="M738" s="105"/>
      <c r="N738" s="105"/>
      <c r="O738" s="105"/>
      <c r="P738" s="135"/>
      <c r="Q738" s="105"/>
      <c r="R738" s="136"/>
      <c r="S738" s="105"/>
      <c r="T738" s="135"/>
      <c r="U738" s="354"/>
      <c r="V738" s="353"/>
      <c r="W738" s="130"/>
      <c r="X738" s="130"/>
      <c r="Y738" s="403"/>
      <c r="Z738" s="404"/>
    </row>
    <row r="739" spans="1:26" s="133" customFormat="1" x14ac:dyDescent="0.25">
      <c r="A739" s="209"/>
      <c r="B739" s="161"/>
      <c r="C739" s="105"/>
      <c r="D739" s="105"/>
      <c r="E739" s="105"/>
      <c r="F739" s="105"/>
      <c r="G739" s="105"/>
      <c r="H739" s="105"/>
      <c r="I739" s="105"/>
      <c r="J739" s="105"/>
      <c r="K739" s="136"/>
      <c r="L739" s="105"/>
      <c r="M739" s="105"/>
      <c r="N739" s="105"/>
      <c r="O739" s="105"/>
      <c r="P739" s="135"/>
      <c r="Q739" s="105"/>
      <c r="R739" s="136"/>
      <c r="S739" s="105"/>
      <c r="T739" s="135"/>
      <c r="U739" s="354"/>
      <c r="V739" s="353"/>
      <c r="W739" s="130"/>
      <c r="X739" s="130"/>
      <c r="Y739" s="403"/>
      <c r="Z739" s="404"/>
    </row>
    <row r="740" spans="1:26" s="133" customFormat="1" x14ac:dyDescent="0.25">
      <c r="A740" s="209"/>
      <c r="B740" s="161"/>
      <c r="C740" s="105"/>
      <c r="D740" s="105"/>
      <c r="E740" s="105"/>
      <c r="F740" s="105"/>
      <c r="G740" s="105"/>
      <c r="H740" s="105"/>
      <c r="I740" s="105"/>
      <c r="J740" s="105"/>
      <c r="K740" s="136"/>
      <c r="L740" s="105"/>
      <c r="M740" s="105"/>
      <c r="N740" s="105"/>
      <c r="O740" s="105"/>
      <c r="P740" s="135"/>
      <c r="Q740" s="105"/>
      <c r="R740" s="136"/>
      <c r="S740" s="105"/>
      <c r="T740" s="135"/>
      <c r="U740" s="354"/>
      <c r="V740" s="353"/>
      <c r="W740" s="130"/>
      <c r="X740" s="130"/>
      <c r="Y740" s="403"/>
      <c r="Z740" s="404"/>
    </row>
  </sheetData>
  <mergeCells count="3">
    <mergeCell ref="B1:T1"/>
    <mergeCell ref="B2:T2"/>
    <mergeCell ref="B3:T3"/>
  </mergeCells>
  <conditionalFormatting sqref="L9">
    <cfRule type="cellIs" dxfId="1" priority="2" stopIfTrue="1" operator="greaterThan">
      <formula>0.03</formula>
    </cfRule>
  </conditionalFormatting>
  <conditionalFormatting sqref="L10:L151">
    <cfRule type="cellIs" dxfId="0" priority="1" stopIfTrue="1" operator="greaterThan">
      <formula>0.03</formula>
    </cfRule>
  </conditionalFormatting>
  <printOptions gridLines="1"/>
  <pageMargins left="0.42" right="0.17" top="0.78" bottom="0.17" header="0.17" footer="0.17"/>
  <pageSetup orientation="portrait" verticalDpi="0" r:id="rId1"/>
  <headerFooter scaleWithDoc="0" alignWithMargins="0">
    <oddHeader>&amp;C&amp;"Calibri,Bold"&amp;14&amp;F
&amp;A</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51"/>
  <sheetViews>
    <sheetView view="pageBreakPreview" topLeftCell="D1" zoomScale="80" zoomScaleSheetLayoutView="80" workbookViewId="0">
      <pane ySplit="1" topLeftCell="A100" activePane="bottomLeft" state="frozen"/>
      <selection activeCell="D1" sqref="D1"/>
      <selection pane="bottomLeft" activeCell="K100" sqref="K100"/>
    </sheetView>
  </sheetViews>
  <sheetFormatPr defaultColWidth="8.85546875" defaultRowHeight="15.75" x14ac:dyDescent="0.25"/>
  <cols>
    <col min="1" max="2" width="14.7109375" style="233" bestFit="1" customWidth="1"/>
    <col min="3" max="3" width="15.140625" style="233" bestFit="1" customWidth="1"/>
    <col min="4" max="4" width="51.42578125" style="227" bestFit="1" customWidth="1"/>
    <col min="5" max="8" width="19.42578125" style="230" bestFit="1" customWidth="1"/>
    <col min="9" max="9" width="21.42578125" style="230" bestFit="1" customWidth="1"/>
    <col min="10" max="10" width="17.7109375" style="227" customWidth="1"/>
    <col min="11" max="11" width="16.42578125" style="227" bestFit="1" customWidth="1"/>
    <col min="12" max="12" width="11.28515625" style="231" bestFit="1" customWidth="1"/>
    <col min="13" max="13" width="16.42578125" style="232" bestFit="1" customWidth="1"/>
    <col min="14" max="14" width="10.42578125" style="231" bestFit="1" customWidth="1"/>
    <col min="15" max="15" width="11.42578125" style="227" bestFit="1" customWidth="1"/>
    <col min="16" max="16" width="51.140625" style="227" bestFit="1" customWidth="1"/>
    <col min="17" max="17" width="53.85546875" style="230" bestFit="1" customWidth="1"/>
    <col min="18" max="18" width="16.140625" style="229" customWidth="1"/>
    <col min="19" max="19" width="22.140625" style="227" bestFit="1" customWidth="1"/>
    <col min="20" max="20" width="22.42578125" style="228" customWidth="1"/>
    <col min="21" max="16384" width="8.85546875" style="227"/>
  </cols>
  <sheetData>
    <row r="1" spans="1:20" s="345" customFormat="1" ht="18" x14ac:dyDescent="0.25">
      <c r="A1" s="233"/>
      <c r="B1" s="233"/>
      <c r="C1" s="233"/>
      <c r="D1" s="345" t="s">
        <v>496</v>
      </c>
      <c r="E1" s="351" t="s">
        <v>495</v>
      </c>
      <c r="F1" s="350" t="s">
        <v>494</v>
      </c>
      <c r="G1" s="350" t="s">
        <v>493</v>
      </c>
      <c r="H1" s="350" t="s">
        <v>492</v>
      </c>
      <c r="I1" s="349" t="s">
        <v>491</v>
      </c>
      <c r="J1" s="889" t="s">
        <v>490</v>
      </c>
      <c r="K1" s="890"/>
      <c r="L1" s="891"/>
      <c r="M1" s="892" t="s">
        <v>489</v>
      </c>
      <c r="N1" s="893"/>
      <c r="Q1" s="348"/>
      <c r="R1" s="347"/>
      <c r="T1" s="346"/>
    </row>
    <row r="2" spans="1:20" x14ac:dyDescent="0.25">
      <c r="E2" s="339" t="s">
        <v>487</v>
      </c>
      <c r="F2" s="338" t="s">
        <v>487</v>
      </c>
      <c r="G2" s="338" t="s">
        <v>487</v>
      </c>
      <c r="H2" s="338" t="s">
        <v>487</v>
      </c>
      <c r="I2" s="337" t="s">
        <v>487</v>
      </c>
      <c r="J2" s="336" t="s">
        <v>488</v>
      </c>
      <c r="K2" s="335" t="s">
        <v>487</v>
      </c>
      <c r="L2" s="333" t="s">
        <v>486</v>
      </c>
      <c r="M2" s="344" t="s">
        <v>487</v>
      </c>
      <c r="N2" s="333" t="s">
        <v>486</v>
      </c>
      <c r="Q2" s="343"/>
      <c r="R2" s="342"/>
      <c r="S2" s="341"/>
    </row>
    <row r="3" spans="1:20" x14ac:dyDescent="0.25">
      <c r="D3" s="340" t="s">
        <v>485</v>
      </c>
      <c r="E3" s="339">
        <v>70</v>
      </c>
      <c r="F3" s="338">
        <v>70</v>
      </c>
      <c r="G3" s="338">
        <v>70</v>
      </c>
      <c r="H3" s="338">
        <v>70</v>
      </c>
      <c r="I3" s="337">
        <v>70</v>
      </c>
      <c r="J3" s="336">
        <v>127</v>
      </c>
      <c r="K3" s="335">
        <v>70</v>
      </c>
      <c r="L3" s="333">
        <f>+K3/J3</f>
        <v>0.55118110236220474</v>
      </c>
      <c r="M3" s="334">
        <f>+K3</f>
        <v>70</v>
      </c>
      <c r="N3" s="333">
        <f>+M3/J3</f>
        <v>0.55118110236220474</v>
      </c>
    </row>
    <row r="4" spans="1:20" x14ac:dyDescent="0.25">
      <c r="D4" s="244" t="s">
        <v>358</v>
      </c>
      <c r="E4" s="252"/>
      <c r="F4" s="251"/>
      <c r="G4" s="251"/>
      <c r="H4" s="251"/>
      <c r="I4" s="279"/>
      <c r="J4" s="332"/>
      <c r="K4" s="331"/>
      <c r="L4" s="245"/>
      <c r="M4" s="246"/>
      <c r="N4" s="245"/>
    </row>
    <row r="5" spans="1:20" x14ac:dyDescent="0.25">
      <c r="C5" s="233">
        <v>3110001.01</v>
      </c>
      <c r="D5" s="227" t="s">
        <v>359</v>
      </c>
      <c r="E5" s="249">
        <v>0</v>
      </c>
      <c r="F5" s="248"/>
      <c r="G5" s="248"/>
      <c r="H5" s="248"/>
      <c r="I5" s="254" t="e">
        <f>SUMIF('[3]2012 budget'!$A$9:$A$151,C5,'[3]2012 budget'!$H$9:$H$128)</f>
        <v>#VALUE!</v>
      </c>
      <c r="J5" s="246">
        <v>801466</v>
      </c>
      <c r="K5" s="247"/>
      <c r="L5" s="245">
        <f>+K5/J5</f>
        <v>0</v>
      </c>
      <c r="M5" s="246"/>
      <c r="N5" s="245">
        <f>+M5/J5</f>
        <v>0</v>
      </c>
      <c r="Q5" s="253"/>
    </row>
    <row r="6" spans="1:20" x14ac:dyDescent="0.25">
      <c r="C6" s="233">
        <v>3110001</v>
      </c>
      <c r="D6" s="230" t="s">
        <v>360</v>
      </c>
      <c r="E6" s="250">
        <v>240007</v>
      </c>
      <c r="F6" s="248">
        <v>307648</v>
      </c>
      <c r="G6" s="248">
        <v>314927</v>
      </c>
      <c r="H6" s="248">
        <v>321611</v>
      </c>
      <c r="I6" s="254" t="e">
        <f>SUMIF('[3]2012 budget'!$A$9:$A$151,C6,'[3]2012 budget'!$H$9:$H$128)</f>
        <v>#VALUE!</v>
      </c>
      <c r="J6" s="250">
        <v>327043</v>
      </c>
      <c r="K6" s="126">
        <v>327043</v>
      </c>
      <c r="L6" s="303">
        <f>+K6/J6</f>
        <v>1</v>
      </c>
      <c r="M6" s="246">
        <v>327043.20000000001</v>
      </c>
      <c r="N6" s="245">
        <f>+M6/J6</f>
        <v>1.0000006115403786</v>
      </c>
      <c r="Q6" s="253"/>
    </row>
    <row r="7" spans="1:20" x14ac:dyDescent="0.25">
      <c r="D7" s="230" t="s">
        <v>361</v>
      </c>
      <c r="E7" s="250"/>
      <c r="F7" s="248"/>
      <c r="G7" s="248">
        <v>-2338</v>
      </c>
      <c r="H7" s="248"/>
      <c r="I7" s="254" t="e">
        <f>SUMIF('[3]2012 budget'!$A$9:$A$151,C7,'[3]2012 budget'!$H$9:$H$128)</f>
        <v>#VALUE!</v>
      </c>
      <c r="J7" s="250"/>
      <c r="K7" s="126"/>
      <c r="L7" s="245" t="e">
        <f>+K7/J7</f>
        <v>#DIV/0!</v>
      </c>
      <c r="M7" s="246"/>
      <c r="N7" s="245" t="e">
        <f>+M7/J7</f>
        <v>#DIV/0!</v>
      </c>
      <c r="Q7" s="253"/>
    </row>
    <row r="8" spans="1:20" x14ac:dyDescent="0.25">
      <c r="C8" s="233">
        <v>4190030.02</v>
      </c>
      <c r="D8" s="230" t="s">
        <v>362</v>
      </c>
      <c r="E8" s="250">
        <v>0</v>
      </c>
      <c r="F8" s="248"/>
      <c r="G8" s="248"/>
      <c r="H8" s="248"/>
      <c r="I8" s="254" t="e">
        <f>SUMIF('[3]2012 budget'!$A$9:$A$151,C8,'[3]2012 budget'!$H$9:$H$128)</f>
        <v>#VALUE!</v>
      </c>
      <c r="J8" s="250"/>
      <c r="K8" s="126"/>
      <c r="L8" s="245" t="e">
        <f>+K8/J8</f>
        <v>#DIV/0!</v>
      </c>
      <c r="M8" s="246"/>
      <c r="N8" s="245" t="e">
        <f>+M8/J8</f>
        <v>#DIV/0!</v>
      </c>
      <c r="Q8" s="253"/>
    </row>
    <row r="9" spans="1:20" s="244" customFormat="1" x14ac:dyDescent="0.25">
      <c r="A9" s="233"/>
      <c r="B9" s="233"/>
      <c r="C9" s="233"/>
      <c r="D9" s="330" t="s">
        <v>363</v>
      </c>
      <c r="E9" s="329">
        <f t="shared" ref="E9:K9" si="0">SUM(E5:E8)</f>
        <v>240007</v>
      </c>
      <c r="F9" s="323">
        <f t="shared" si="0"/>
        <v>307648</v>
      </c>
      <c r="G9" s="323">
        <f t="shared" si="0"/>
        <v>312589</v>
      </c>
      <c r="H9" s="323">
        <f t="shared" si="0"/>
        <v>321611</v>
      </c>
      <c r="I9" s="322" t="e">
        <f t="shared" si="0"/>
        <v>#VALUE!</v>
      </c>
      <c r="J9" s="329">
        <f t="shared" si="0"/>
        <v>1128509</v>
      </c>
      <c r="K9" s="328">
        <f t="shared" si="0"/>
        <v>327043</v>
      </c>
      <c r="L9" s="319">
        <f>+K9/J9</f>
        <v>0.28980096747123862</v>
      </c>
      <c r="M9" s="320">
        <f>SUM(M5:M8)</f>
        <v>327043.20000000001</v>
      </c>
      <c r="N9" s="319">
        <f>+M9/J9</f>
        <v>0.28980114469623192</v>
      </c>
      <c r="Q9" s="253"/>
      <c r="R9" s="229"/>
      <c r="S9" s="227"/>
      <c r="T9" s="255"/>
    </row>
    <row r="10" spans="1:20" x14ac:dyDescent="0.25">
      <c r="D10" s="125"/>
      <c r="E10" s="250"/>
      <c r="F10" s="248"/>
      <c r="G10" s="248"/>
      <c r="H10" s="248"/>
      <c r="I10" s="254"/>
      <c r="J10" s="250"/>
      <c r="K10" s="126"/>
      <c r="L10" s="245"/>
      <c r="M10" s="246"/>
      <c r="N10" s="245"/>
      <c r="Q10" s="253"/>
    </row>
    <row r="11" spans="1:20" x14ac:dyDescent="0.25">
      <c r="D11" s="317" t="s">
        <v>364</v>
      </c>
      <c r="E11" s="250"/>
      <c r="F11" s="248"/>
      <c r="G11" s="248"/>
      <c r="H11" s="248"/>
      <c r="I11" s="254"/>
      <c r="J11" s="250"/>
      <c r="K11" s="126"/>
      <c r="L11" s="245"/>
      <c r="M11" s="246"/>
      <c r="N11" s="245"/>
      <c r="Q11" s="253"/>
    </row>
    <row r="12" spans="1:20" x14ac:dyDescent="0.25">
      <c r="C12" s="233">
        <v>3690001.02</v>
      </c>
      <c r="D12" s="230" t="s">
        <v>365</v>
      </c>
      <c r="E12" s="250"/>
      <c r="F12" s="248"/>
      <c r="G12" s="248">
        <v>0</v>
      </c>
      <c r="H12" s="248">
        <v>0</v>
      </c>
      <c r="I12" s="254" t="e">
        <f>SUMIF('[3]2012 budget'!$A$9:$A$151,C12,'[3]2012 budget'!$H$9:$H$128)</f>
        <v>#VALUE!</v>
      </c>
      <c r="J12" s="250"/>
      <c r="K12" s="126"/>
      <c r="L12" s="245" t="e">
        <f t="shared" ref="L12:L23" si="1">+K12/J12</f>
        <v>#DIV/0!</v>
      </c>
      <c r="M12" s="246"/>
      <c r="N12" s="245" t="e">
        <f t="shared" ref="N12:N23" si="2">+M12/J12</f>
        <v>#DIV/0!</v>
      </c>
      <c r="Q12" s="253"/>
    </row>
    <row r="13" spans="1:20" x14ac:dyDescent="0.25">
      <c r="D13" s="230" t="s">
        <v>366</v>
      </c>
      <c r="E13" s="250"/>
      <c r="F13" s="248"/>
      <c r="G13" s="248">
        <v>0</v>
      </c>
      <c r="H13" s="248">
        <v>0</v>
      </c>
      <c r="I13" s="254" t="e">
        <f>SUMIF('[3]2012 budget'!$A$9:$A$151,C13,'[3]2012 budget'!$H$9:$H$128)</f>
        <v>#VALUE!</v>
      </c>
      <c r="J13" s="250"/>
      <c r="K13" s="126"/>
      <c r="L13" s="245" t="e">
        <f t="shared" si="1"/>
        <v>#DIV/0!</v>
      </c>
      <c r="M13" s="246"/>
      <c r="N13" s="245" t="e">
        <f t="shared" si="2"/>
        <v>#DIV/0!</v>
      </c>
      <c r="Q13" s="253"/>
    </row>
    <row r="14" spans="1:20" x14ac:dyDescent="0.25">
      <c r="D14" s="230" t="s">
        <v>367</v>
      </c>
      <c r="E14" s="250"/>
      <c r="F14" s="248"/>
      <c r="G14" s="248">
        <v>0</v>
      </c>
      <c r="H14" s="248">
        <v>0</v>
      </c>
      <c r="I14" s="254" t="e">
        <f>SUMIF('[3]2012 budget'!$A$9:$A$151,C14,'[3]2012 budget'!$H$9:$H$128)</f>
        <v>#VALUE!</v>
      </c>
      <c r="J14" s="250"/>
      <c r="K14" s="126"/>
      <c r="L14" s="245" t="e">
        <f t="shared" si="1"/>
        <v>#DIV/0!</v>
      </c>
      <c r="M14" s="246"/>
      <c r="N14" s="245" t="e">
        <f t="shared" si="2"/>
        <v>#DIV/0!</v>
      </c>
      <c r="Q14" s="253"/>
    </row>
    <row r="15" spans="1:20" x14ac:dyDescent="0.25">
      <c r="A15" s="233">
        <v>3690001.06</v>
      </c>
      <c r="B15" s="233">
        <v>3690001.05</v>
      </c>
      <c r="C15" s="233">
        <v>3690001.04</v>
      </c>
      <c r="D15" s="230" t="s">
        <v>368</v>
      </c>
      <c r="E15" s="250"/>
      <c r="F15" s="248"/>
      <c r="G15" s="248">
        <v>0</v>
      </c>
      <c r="H15" s="248">
        <v>1478</v>
      </c>
      <c r="I15" s="254" t="e">
        <f>SUMIF('[3]2012 budget'!$A$9:$A$151,C15,'[3]2012 budget'!$H$9:$H$128)</f>
        <v>#VALUE!</v>
      </c>
      <c r="J15" s="250"/>
      <c r="K15" s="126"/>
      <c r="L15" s="245" t="e">
        <f t="shared" si="1"/>
        <v>#DIV/0!</v>
      </c>
      <c r="M15" s="246"/>
      <c r="N15" s="245" t="e">
        <f t="shared" si="2"/>
        <v>#DIV/0!</v>
      </c>
      <c r="Q15" s="253"/>
    </row>
    <row r="16" spans="1:20" x14ac:dyDescent="0.25">
      <c r="C16" s="233">
        <v>3690001.01</v>
      </c>
      <c r="D16" s="327" t="s">
        <v>369</v>
      </c>
      <c r="E16" s="250"/>
      <c r="F16" s="248"/>
      <c r="G16" s="248">
        <v>0</v>
      </c>
      <c r="H16" s="248">
        <v>0</v>
      </c>
      <c r="I16" s="254" t="e">
        <f>SUMIF('[3]2012 budget'!$A$9:$A$151,C16,'[3]2012 budget'!$H$9:$H$128)</f>
        <v>#VALUE!</v>
      </c>
      <c r="J16" s="250"/>
      <c r="K16" s="126"/>
      <c r="L16" s="245" t="e">
        <f t="shared" si="1"/>
        <v>#DIV/0!</v>
      </c>
      <c r="M16" s="246"/>
      <c r="N16" s="245" t="e">
        <f t="shared" si="2"/>
        <v>#DIV/0!</v>
      </c>
      <c r="Q16" s="253"/>
    </row>
    <row r="17" spans="1:20" x14ac:dyDescent="0.25">
      <c r="D17" s="327" t="s">
        <v>370</v>
      </c>
      <c r="E17" s="250"/>
      <c r="F17" s="248"/>
      <c r="G17" s="248">
        <v>0</v>
      </c>
      <c r="H17" s="248">
        <v>0</v>
      </c>
      <c r="I17" s="254" t="e">
        <f>SUMIF('[3]2012 budget'!$A$9:$A$151,C17,'[3]2012 budget'!$H$9:$H$128)</f>
        <v>#VALUE!</v>
      </c>
      <c r="J17" s="250"/>
      <c r="K17" s="126"/>
      <c r="L17" s="245" t="e">
        <f t="shared" si="1"/>
        <v>#DIV/0!</v>
      </c>
      <c r="M17" s="246"/>
      <c r="N17" s="245" t="e">
        <f t="shared" si="2"/>
        <v>#DIV/0!</v>
      </c>
      <c r="Q17" s="253"/>
    </row>
    <row r="18" spans="1:20" x14ac:dyDescent="0.25">
      <c r="D18" s="327" t="s">
        <v>371</v>
      </c>
      <c r="E18" s="250"/>
      <c r="F18" s="248"/>
      <c r="G18" s="248">
        <v>0</v>
      </c>
      <c r="H18" s="248">
        <v>0</v>
      </c>
      <c r="I18" s="254" t="e">
        <f>SUMIF('[3]2012 budget'!$A$9:$A$151,C18,'[3]2012 budget'!$H$9:$H$128)</f>
        <v>#VALUE!</v>
      </c>
      <c r="J18" s="250"/>
      <c r="K18" s="126"/>
      <c r="L18" s="245" t="e">
        <f t="shared" si="1"/>
        <v>#DIV/0!</v>
      </c>
      <c r="M18" s="246"/>
      <c r="N18" s="245" t="e">
        <f t="shared" si="2"/>
        <v>#DIV/0!</v>
      </c>
      <c r="Q18" s="253"/>
    </row>
    <row r="19" spans="1:20" x14ac:dyDescent="0.25">
      <c r="D19" s="230" t="s">
        <v>372</v>
      </c>
      <c r="E19" s="250"/>
      <c r="F19" s="248"/>
      <c r="G19" s="248">
        <v>0</v>
      </c>
      <c r="H19" s="248">
        <v>0</v>
      </c>
      <c r="I19" s="254" t="e">
        <f>SUMIF('[3]2012 budget'!$A$9:$A$151,C19,'[3]2012 budget'!$H$9:$H$128)</f>
        <v>#VALUE!</v>
      </c>
      <c r="J19" s="250"/>
      <c r="K19" s="126"/>
      <c r="L19" s="245" t="e">
        <f t="shared" si="1"/>
        <v>#DIV/0!</v>
      </c>
      <c r="M19" s="246"/>
      <c r="N19" s="245" t="e">
        <f t="shared" si="2"/>
        <v>#DIV/0!</v>
      </c>
      <c r="Q19" s="253"/>
    </row>
    <row r="20" spans="1:20" x14ac:dyDescent="0.25">
      <c r="C20" s="233">
        <v>3690001.08</v>
      </c>
      <c r="D20" s="230" t="s">
        <v>115</v>
      </c>
      <c r="E20" s="250">
        <v>938</v>
      </c>
      <c r="F20" s="248"/>
      <c r="G20" s="248">
        <v>1878</v>
      </c>
      <c r="H20" s="248">
        <v>0</v>
      </c>
      <c r="I20" s="254" t="e">
        <f>SUMIF('[3]2012 budget'!$A$9:$A$151,C20,'[3]2012 budget'!$H$9:$H$128)</f>
        <v>#VALUE!</v>
      </c>
      <c r="J20" s="250">
        <v>4048</v>
      </c>
      <c r="K20" s="126">
        <v>2231</v>
      </c>
      <c r="L20" s="303">
        <f t="shared" si="1"/>
        <v>0.55113636363636365</v>
      </c>
      <c r="M20" s="246">
        <v>2231</v>
      </c>
      <c r="N20" s="245">
        <f t="shared" si="2"/>
        <v>0.55113636363636365</v>
      </c>
      <c r="Q20" s="253"/>
    </row>
    <row r="21" spans="1:20" s="244" customFormat="1" x14ac:dyDescent="0.25">
      <c r="A21" s="233"/>
      <c r="B21" s="233"/>
      <c r="E21" s="249"/>
      <c r="F21" s="248"/>
      <c r="G21" s="248"/>
      <c r="H21" s="248"/>
      <c r="I21" s="254" t="e">
        <f>SUMIF('[3]2012 budget'!$A$9:$A$151,C21,'[3]2012 budget'!$H$9:$H$128)</f>
        <v>#VALUE!</v>
      </c>
      <c r="L21" s="245" t="e">
        <f t="shared" si="1"/>
        <v>#DIV/0!</v>
      </c>
      <c r="M21" s="326"/>
      <c r="N21" s="245" t="e">
        <f t="shared" si="2"/>
        <v>#DIV/0!</v>
      </c>
      <c r="Q21" s="253"/>
      <c r="R21" s="229"/>
      <c r="S21" s="227"/>
      <c r="T21" s="255"/>
    </row>
    <row r="22" spans="1:20" s="317" customFormat="1" x14ac:dyDescent="0.25">
      <c r="A22" s="233"/>
      <c r="B22" s="233"/>
      <c r="C22" s="233"/>
      <c r="D22" s="325" t="s">
        <v>373</v>
      </c>
      <c r="E22" s="324">
        <f t="shared" ref="E22:K22" si="3">SUM(E12:E21)</f>
        <v>938</v>
      </c>
      <c r="F22" s="323">
        <f t="shared" si="3"/>
        <v>0</v>
      </c>
      <c r="G22" s="323">
        <f t="shared" si="3"/>
        <v>1878</v>
      </c>
      <c r="H22" s="323">
        <f t="shared" si="3"/>
        <v>1478</v>
      </c>
      <c r="I22" s="322" t="e">
        <f t="shared" si="3"/>
        <v>#VALUE!</v>
      </c>
      <c r="J22" s="321">
        <f t="shared" si="3"/>
        <v>4048</v>
      </c>
      <c r="K22" s="320">
        <f t="shared" si="3"/>
        <v>2231</v>
      </c>
      <c r="L22" s="319">
        <f t="shared" si="1"/>
        <v>0.55113636363636365</v>
      </c>
      <c r="M22" s="320">
        <f>SUM(M12:M21)</f>
        <v>2231</v>
      </c>
      <c r="N22" s="319">
        <f t="shared" si="2"/>
        <v>0.55113636363636365</v>
      </c>
      <c r="Q22" s="253"/>
      <c r="R22" s="229"/>
      <c r="S22" s="227"/>
      <c r="T22" s="318"/>
    </row>
    <row r="23" spans="1:20" ht="16.5" thickBot="1" x14ac:dyDescent="0.3">
      <c r="D23" s="277" t="s">
        <v>177</v>
      </c>
      <c r="E23" s="300">
        <f t="shared" ref="E23:K23" si="4">+E9+E22</f>
        <v>240945</v>
      </c>
      <c r="F23" s="299">
        <f t="shared" si="4"/>
        <v>307648</v>
      </c>
      <c r="G23" s="299">
        <f t="shared" si="4"/>
        <v>314467</v>
      </c>
      <c r="H23" s="299">
        <f t="shared" si="4"/>
        <v>323089</v>
      </c>
      <c r="I23" s="298" t="e">
        <f t="shared" si="4"/>
        <v>#VALUE!</v>
      </c>
      <c r="J23" s="295">
        <f t="shared" si="4"/>
        <v>1132557</v>
      </c>
      <c r="K23" s="294">
        <f t="shared" si="4"/>
        <v>329274</v>
      </c>
      <c r="L23" s="258">
        <f t="shared" si="1"/>
        <v>0.29073503585250016</v>
      </c>
      <c r="M23" s="294">
        <f>+M9+M22</f>
        <v>329274.2</v>
      </c>
      <c r="N23" s="258">
        <f t="shared" si="2"/>
        <v>0.29073521244405359</v>
      </c>
      <c r="Q23" s="253"/>
    </row>
    <row r="24" spans="1:20" ht="16.5" thickTop="1" x14ac:dyDescent="0.25">
      <c r="E24" s="249"/>
      <c r="F24" s="248"/>
      <c r="G24" s="248"/>
      <c r="H24" s="248"/>
      <c r="I24" s="254"/>
      <c r="J24" s="246"/>
      <c r="K24" s="247"/>
      <c r="L24" s="245"/>
      <c r="M24" s="246"/>
      <c r="N24" s="245"/>
      <c r="Q24" s="253"/>
    </row>
    <row r="25" spans="1:20" x14ac:dyDescent="0.25">
      <c r="D25" s="244" t="s">
        <v>0</v>
      </c>
      <c r="E25" s="252"/>
      <c r="F25" s="251"/>
      <c r="G25" s="251"/>
      <c r="H25" s="251"/>
      <c r="I25" s="279"/>
      <c r="J25" s="246"/>
      <c r="K25" s="247"/>
      <c r="L25" s="245"/>
      <c r="M25" s="246"/>
      <c r="N25" s="245"/>
      <c r="Q25" s="253"/>
    </row>
    <row r="26" spans="1:20" x14ac:dyDescent="0.25">
      <c r="C26" s="233">
        <v>4110001.01</v>
      </c>
      <c r="D26" s="227" t="s">
        <v>374</v>
      </c>
      <c r="E26" s="249">
        <v>58173</v>
      </c>
      <c r="F26" s="248">
        <f>40880+30307</f>
        <v>71187</v>
      </c>
      <c r="G26" s="248">
        <v>46164</v>
      </c>
      <c r="H26" s="248">
        <v>57240</v>
      </c>
      <c r="I26" s="304" t="e">
        <f>SUMIF('[3]2012 budget'!$A$9:$A$151,C26,'[3]2012 budget'!$H$9:$H$128)</f>
        <v>#VALUE!</v>
      </c>
      <c r="J26" s="250">
        <v>81515</v>
      </c>
      <c r="K26" s="264">
        <v>44930</v>
      </c>
      <c r="L26" s="245">
        <f t="shared" ref="L26:L55" si="5">+K26/J26</f>
        <v>0.55118689811691102</v>
      </c>
      <c r="M26" s="246">
        <v>44930</v>
      </c>
      <c r="N26" s="245">
        <f t="shared" ref="N26:N55" si="6">+M26/J26</f>
        <v>0.55118689811691102</v>
      </c>
      <c r="O26" s="278">
        <f t="shared" ref="O26:O54" si="7">K26-M26</f>
        <v>0</v>
      </c>
      <c r="Q26" s="312"/>
      <c r="R26" s="316"/>
    </row>
    <row r="27" spans="1:20" x14ac:dyDescent="0.25">
      <c r="C27" s="233">
        <v>4190014</v>
      </c>
      <c r="D27" s="230" t="s">
        <v>375</v>
      </c>
      <c r="E27" s="250"/>
      <c r="F27" s="248">
        <v>683</v>
      </c>
      <c r="G27" s="248">
        <v>516</v>
      </c>
      <c r="H27" s="248">
        <v>516</v>
      </c>
      <c r="I27" s="254"/>
      <c r="J27" s="250">
        <v>446</v>
      </c>
      <c r="K27" s="126">
        <v>246</v>
      </c>
      <c r="L27" s="303">
        <f t="shared" si="5"/>
        <v>0.55156950672645744</v>
      </c>
      <c r="M27" s="246">
        <v>246</v>
      </c>
      <c r="N27" s="245">
        <f t="shared" si="6"/>
        <v>0.55156950672645744</v>
      </c>
      <c r="O27" s="278">
        <f t="shared" si="7"/>
        <v>0</v>
      </c>
      <c r="Q27" s="253"/>
    </row>
    <row r="28" spans="1:20" x14ac:dyDescent="0.25">
      <c r="C28" s="233">
        <v>4170001</v>
      </c>
      <c r="D28" s="230" t="s">
        <v>376</v>
      </c>
      <c r="E28" s="250">
        <v>6173</v>
      </c>
      <c r="F28" s="248">
        <v>4299</v>
      </c>
      <c r="G28" s="248">
        <v>6201</v>
      </c>
      <c r="H28" s="248">
        <v>6890</v>
      </c>
      <c r="I28" s="254" t="e">
        <f>SUMIF('[3]2012 budget'!$A$9:$A$151,C28,'[3]2012 budget'!$H$9:$H$128)</f>
        <v>#VALUE!</v>
      </c>
      <c r="J28" s="250">
        <v>11550</v>
      </c>
      <c r="K28" s="126">
        <v>6366</v>
      </c>
      <c r="L28" s="303">
        <f t="shared" si="5"/>
        <v>0.5511688311688312</v>
      </c>
      <c r="M28" s="246">
        <v>6366</v>
      </c>
      <c r="N28" s="245">
        <f t="shared" si="6"/>
        <v>0.5511688311688312</v>
      </c>
      <c r="O28" s="278">
        <f t="shared" si="7"/>
        <v>0</v>
      </c>
      <c r="Q28" s="253"/>
    </row>
    <row r="29" spans="1:20" x14ac:dyDescent="0.25">
      <c r="C29" s="233">
        <v>4570001</v>
      </c>
      <c r="D29" s="230" t="s">
        <v>377</v>
      </c>
      <c r="E29" s="250"/>
      <c r="F29" s="248">
        <v>0</v>
      </c>
      <c r="G29" s="248">
        <v>0</v>
      </c>
      <c r="H29" s="248">
        <v>0</v>
      </c>
      <c r="I29" s="254" t="e">
        <f>SUMIF('[3]2012 budget'!$A$9:$A$151,C29,'[3]2012 budget'!$H$9:$H$128)</f>
        <v>#VALUE!</v>
      </c>
      <c r="J29" s="250">
        <v>9142</v>
      </c>
      <c r="K29" s="126">
        <v>0</v>
      </c>
      <c r="L29" s="303">
        <f t="shared" si="5"/>
        <v>0</v>
      </c>
      <c r="M29" s="246"/>
      <c r="N29" s="245">
        <f t="shared" si="6"/>
        <v>0</v>
      </c>
      <c r="O29" s="278">
        <f t="shared" si="7"/>
        <v>0</v>
      </c>
      <c r="Q29" s="253"/>
    </row>
    <row r="30" spans="1:20" x14ac:dyDescent="0.25">
      <c r="C30" s="233">
        <v>4190049.01</v>
      </c>
      <c r="D30" s="230" t="s">
        <v>378</v>
      </c>
      <c r="E30" s="250">
        <v>454</v>
      </c>
      <c r="F30" s="248">
        <f>500+530</f>
        <v>1030</v>
      </c>
      <c r="G30" s="248">
        <v>533</v>
      </c>
      <c r="H30" s="248">
        <v>669</v>
      </c>
      <c r="I30" s="254" t="e">
        <f>SUMIF('[3]2012 budget'!$A$9:$A$151,C30,'[3]2012 budget'!$H$9:$H$128)</f>
        <v>#VALUE!</v>
      </c>
      <c r="J30" s="250">
        <v>1358</v>
      </c>
      <c r="K30" s="126">
        <v>748</v>
      </c>
      <c r="L30" s="303">
        <f t="shared" si="5"/>
        <v>0.55081001472754054</v>
      </c>
      <c r="M30" s="246">
        <v>748</v>
      </c>
      <c r="N30" s="245">
        <f t="shared" si="6"/>
        <v>0.55081001472754054</v>
      </c>
      <c r="O30" s="278">
        <f t="shared" si="7"/>
        <v>0</v>
      </c>
      <c r="Q30" s="253"/>
    </row>
    <row r="31" spans="1:20" ht="78.75" x14ac:dyDescent="0.25">
      <c r="C31" s="233">
        <v>4193001</v>
      </c>
      <c r="D31" s="230" t="s">
        <v>379</v>
      </c>
      <c r="E31" s="250">
        <v>2228</v>
      </c>
      <c r="F31" s="248">
        <v>2638</v>
      </c>
      <c r="G31" s="248">
        <v>1997</v>
      </c>
      <c r="H31" s="248">
        <v>4355.5824000000002</v>
      </c>
      <c r="I31" s="304" t="e">
        <f>SUMIF('[3]2012 budget'!$A$9:$A$151,C31,'[3]2012 budget'!$H$9:$H$128)</f>
        <v>#VALUE!</v>
      </c>
      <c r="J31" s="250">
        <v>5589</v>
      </c>
      <c r="K31" s="264">
        <v>3080</v>
      </c>
      <c r="L31" s="303">
        <f t="shared" si="5"/>
        <v>0.55108248344963318</v>
      </c>
      <c r="M31" s="314">
        <v>1981</v>
      </c>
      <c r="N31" s="245">
        <f t="shared" si="6"/>
        <v>0.35444623367328681</v>
      </c>
      <c r="O31" s="278">
        <f t="shared" si="7"/>
        <v>1099</v>
      </c>
      <c r="Q31" s="302" t="s">
        <v>484</v>
      </c>
      <c r="R31" s="316"/>
    </row>
    <row r="32" spans="1:20" x14ac:dyDescent="0.25">
      <c r="D32" s="288" t="s">
        <v>483</v>
      </c>
      <c r="E32" s="250"/>
      <c r="F32" s="248"/>
      <c r="G32" s="248"/>
      <c r="H32" s="248"/>
      <c r="I32" s="254"/>
      <c r="J32" s="250">
        <v>600</v>
      </c>
      <c r="K32" s="264">
        <v>331</v>
      </c>
      <c r="L32" s="303">
        <f t="shared" si="5"/>
        <v>0.55166666666666664</v>
      </c>
      <c r="M32" s="246">
        <v>331</v>
      </c>
      <c r="N32" s="245">
        <f t="shared" si="6"/>
        <v>0.55166666666666664</v>
      </c>
      <c r="O32" s="278">
        <f t="shared" si="7"/>
        <v>0</v>
      </c>
      <c r="Q32" s="302" t="s">
        <v>346</v>
      </c>
      <c r="R32" s="316"/>
    </row>
    <row r="33" spans="2:18" ht="31.5" x14ac:dyDescent="0.25">
      <c r="D33" s="288" t="s">
        <v>482</v>
      </c>
      <c r="E33" s="250"/>
      <c r="F33" s="248"/>
      <c r="G33" s="248"/>
      <c r="H33" s="248"/>
      <c r="I33" s="254"/>
      <c r="J33" s="250">
        <v>6580</v>
      </c>
      <c r="K33" s="264">
        <v>3627</v>
      </c>
      <c r="L33" s="303">
        <f t="shared" si="5"/>
        <v>0.55121580547112459</v>
      </c>
      <c r="M33" s="314">
        <v>0</v>
      </c>
      <c r="N33" s="245">
        <f t="shared" si="6"/>
        <v>0</v>
      </c>
      <c r="O33" s="278">
        <f t="shared" si="7"/>
        <v>3627</v>
      </c>
      <c r="Q33" s="302" t="s">
        <v>481</v>
      </c>
      <c r="R33" s="316"/>
    </row>
    <row r="34" spans="2:18" x14ac:dyDescent="0.25">
      <c r="C34" s="233">
        <v>4190049.04</v>
      </c>
      <c r="D34" s="230" t="s">
        <v>380</v>
      </c>
      <c r="E34" s="250">
        <v>0</v>
      </c>
      <c r="F34" s="248">
        <v>1635</v>
      </c>
      <c r="G34" s="248">
        <v>1442</v>
      </c>
      <c r="H34" s="248">
        <v>831</v>
      </c>
      <c r="I34" s="254" t="e">
        <f>SUMIF('[3]2012 budget'!$A$9:$A$151,C34,'[3]2012 budget'!$H$9:$H$128)</f>
        <v>#VALUE!</v>
      </c>
      <c r="J34" s="250">
        <v>2970</v>
      </c>
      <c r="K34" s="126">
        <v>1637</v>
      </c>
      <c r="L34" s="303">
        <f t="shared" si="5"/>
        <v>0.55117845117845121</v>
      </c>
      <c r="M34" s="246">
        <v>1637</v>
      </c>
      <c r="N34" s="245">
        <f t="shared" si="6"/>
        <v>0.55117845117845121</v>
      </c>
      <c r="O34" s="278">
        <f t="shared" si="7"/>
        <v>0</v>
      </c>
      <c r="Q34" s="253"/>
    </row>
    <row r="35" spans="2:18" x14ac:dyDescent="0.25">
      <c r="C35" s="233">
        <v>4130004.02</v>
      </c>
      <c r="D35" s="230" t="s">
        <v>381</v>
      </c>
      <c r="E35" s="250">
        <v>553</v>
      </c>
      <c r="F35" s="248">
        <v>1204</v>
      </c>
      <c r="G35" s="248">
        <v>21500</v>
      </c>
      <c r="H35" s="248">
        <v>15677</v>
      </c>
      <c r="I35" s="254" t="e">
        <f>SUMIF('[3]2012 budget'!$A$9:$A$151,C35,'[3]2012 budget'!$H$9:$H$128)</f>
        <v>#VALUE!</v>
      </c>
      <c r="J35" s="250">
        <v>22929</v>
      </c>
      <c r="K35" s="126">
        <v>9578</v>
      </c>
      <c r="L35" s="303">
        <f t="shared" si="5"/>
        <v>0.41772427929696015</v>
      </c>
      <c r="M35" s="246">
        <v>9578</v>
      </c>
      <c r="N35" s="245">
        <f t="shared" si="6"/>
        <v>0.41772427929696015</v>
      </c>
      <c r="O35" s="278">
        <f t="shared" si="7"/>
        <v>0</v>
      </c>
      <c r="P35" s="227" t="s">
        <v>480</v>
      </c>
      <c r="Q35" s="253"/>
    </row>
    <row r="36" spans="2:18" x14ac:dyDescent="0.25">
      <c r="D36" s="230" t="s">
        <v>382</v>
      </c>
      <c r="E36" s="250"/>
      <c r="F36" s="248">
        <v>220</v>
      </c>
      <c r="G36" s="248">
        <v>3750</v>
      </c>
      <c r="H36" s="248">
        <v>0</v>
      </c>
      <c r="I36" s="254" t="e">
        <f>SUMIF('[3]2012 budget'!$A$9:$A$151,C36,'[3]2012 budget'!$H$9:$H$128)</f>
        <v>#VALUE!</v>
      </c>
      <c r="J36" s="250"/>
      <c r="K36" s="126"/>
      <c r="L36" s="303" t="e">
        <f t="shared" si="5"/>
        <v>#DIV/0!</v>
      </c>
      <c r="M36" s="246">
        <v>0</v>
      </c>
      <c r="N36" s="245" t="e">
        <f t="shared" si="6"/>
        <v>#DIV/0!</v>
      </c>
      <c r="O36" s="278">
        <f t="shared" si="7"/>
        <v>0</v>
      </c>
      <c r="Q36" s="253"/>
    </row>
    <row r="37" spans="2:18" x14ac:dyDescent="0.25">
      <c r="C37" s="233">
        <v>4130004.01</v>
      </c>
      <c r="D37" s="230" t="s">
        <v>383</v>
      </c>
      <c r="E37" s="250">
        <v>0</v>
      </c>
      <c r="F37" s="248">
        <v>0</v>
      </c>
      <c r="G37" s="248"/>
      <c r="H37" s="248">
        <v>0</v>
      </c>
      <c r="I37" s="254" t="e">
        <f>SUMIF('[3]2012 budget'!$A$9:$A$151,C37,'[3]2012 budget'!$H$9:$H$128)</f>
        <v>#VALUE!</v>
      </c>
      <c r="J37" s="250">
        <v>567</v>
      </c>
      <c r="K37" s="126">
        <v>0</v>
      </c>
      <c r="L37" s="303">
        <f t="shared" si="5"/>
        <v>0</v>
      </c>
      <c r="M37" s="246">
        <v>0</v>
      </c>
      <c r="N37" s="245">
        <f t="shared" si="6"/>
        <v>0</v>
      </c>
      <c r="O37" s="278">
        <f t="shared" si="7"/>
        <v>0</v>
      </c>
      <c r="Q37" s="253"/>
    </row>
    <row r="38" spans="2:18" x14ac:dyDescent="0.25">
      <c r="B38" s="233">
        <v>3690001.07</v>
      </c>
      <c r="C38" s="233">
        <v>4195001</v>
      </c>
      <c r="D38" s="230" t="s">
        <v>384</v>
      </c>
      <c r="E38" s="250">
        <v>30905</v>
      </c>
      <c r="F38" s="248">
        <v>37801</v>
      </c>
      <c r="G38" s="248">
        <v>37800</v>
      </c>
      <c r="H38" s="248">
        <v>37800</v>
      </c>
      <c r="I38" s="254" t="e">
        <f>SUMIF('[3]2012 budget'!$A$9:$A$151,C38,'[3]2012 budget'!$H$9:$H$128)</f>
        <v>#VALUE!</v>
      </c>
      <c r="J38" s="250">
        <v>68580</v>
      </c>
      <c r="K38" s="126">
        <v>37800</v>
      </c>
      <c r="L38" s="303">
        <f t="shared" si="5"/>
        <v>0.55118110236220474</v>
      </c>
      <c r="M38" s="246">
        <v>37800</v>
      </c>
      <c r="N38" s="245">
        <f t="shared" si="6"/>
        <v>0.55118110236220474</v>
      </c>
      <c r="O38" s="278">
        <f t="shared" si="7"/>
        <v>0</v>
      </c>
      <c r="Q38" s="253"/>
    </row>
    <row r="39" spans="2:18" x14ac:dyDescent="0.25">
      <c r="C39" s="233">
        <v>4110001.02</v>
      </c>
      <c r="D39" s="230" t="s">
        <v>385</v>
      </c>
      <c r="E39" s="250">
        <v>0</v>
      </c>
      <c r="F39" s="248">
        <v>21006</v>
      </c>
      <c r="G39" s="248">
        <v>22699</v>
      </c>
      <c r="H39" s="248">
        <v>25565</v>
      </c>
      <c r="I39" s="254" t="e">
        <f>SUMIF('[3]2012 budget'!$A$9:$A$151,C39,'[3]2012 budget'!$H$9:$H$128)</f>
        <v>#VALUE!</v>
      </c>
      <c r="J39" s="250">
        <v>45303</v>
      </c>
      <c r="K39" s="126">
        <v>24970</v>
      </c>
      <c r="L39" s="303">
        <f t="shared" si="5"/>
        <v>0.55117762620577004</v>
      </c>
      <c r="M39" s="246">
        <v>24970</v>
      </c>
      <c r="N39" s="245">
        <f t="shared" si="6"/>
        <v>0.55117762620577004</v>
      </c>
      <c r="O39" s="278">
        <f t="shared" si="7"/>
        <v>0</v>
      </c>
      <c r="Q39" s="253"/>
    </row>
    <row r="40" spans="2:18" x14ac:dyDescent="0.25">
      <c r="C40" s="233">
        <v>4190051.02</v>
      </c>
      <c r="D40" s="230" t="s">
        <v>386</v>
      </c>
      <c r="E40" s="250">
        <v>2791</v>
      </c>
      <c r="F40" s="248">
        <v>0</v>
      </c>
      <c r="G40" s="248"/>
      <c r="H40" s="248">
        <v>0</v>
      </c>
      <c r="I40" s="254" t="e">
        <f>SUMIF('[3]2012 budget'!$A$9:$A$151,C40,'[3]2012 budget'!$H$9:$H$128)</f>
        <v>#VALUE!</v>
      </c>
      <c r="J40" s="250">
        <v>3595</v>
      </c>
      <c r="K40" s="126">
        <v>0</v>
      </c>
      <c r="L40" s="303">
        <f t="shared" si="5"/>
        <v>0</v>
      </c>
      <c r="M40" s="246">
        <v>0</v>
      </c>
      <c r="N40" s="245">
        <f t="shared" si="6"/>
        <v>0</v>
      </c>
      <c r="O40" s="278">
        <f t="shared" si="7"/>
        <v>0</v>
      </c>
      <c r="Q40" s="253"/>
    </row>
    <row r="41" spans="2:18" x14ac:dyDescent="0.25">
      <c r="C41" s="233">
        <v>4190049.02</v>
      </c>
      <c r="D41" s="230" t="s">
        <v>387</v>
      </c>
      <c r="E41" s="250">
        <v>0</v>
      </c>
      <c r="F41" s="248">
        <v>0</v>
      </c>
      <c r="G41" s="248">
        <v>0</v>
      </c>
      <c r="H41" s="248">
        <v>0</v>
      </c>
      <c r="I41" s="254" t="e">
        <f>SUMIF('[3]2012 budget'!$A$9:$A$151,C41,'[3]2012 budget'!$H$9:$H$128)</f>
        <v>#VALUE!</v>
      </c>
      <c r="J41" s="250"/>
      <c r="K41" s="126"/>
      <c r="L41" s="303" t="e">
        <f t="shared" si="5"/>
        <v>#DIV/0!</v>
      </c>
      <c r="M41" s="246">
        <v>0</v>
      </c>
      <c r="N41" s="245" t="e">
        <f t="shared" si="6"/>
        <v>#DIV/0!</v>
      </c>
      <c r="O41" s="278">
        <f t="shared" si="7"/>
        <v>0</v>
      </c>
      <c r="Q41" s="253"/>
    </row>
    <row r="42" spans="2:18" x14ac:dyDescent="0.25">
      <c r="C42" s="233">
        <v>4190011.02</v>
      </c>
      <c r="D42" s="230" t="s">
        <v>388</v>
      </c>
      <c r="E42" s="250">
        <v>0</v>
      </c>
      <c r="F42" s="248">
        <v>2624</v>
      </c>
      <c r="G42" s="248">
        <v>2260</v>
      </c>
      <c r="H42" s="248">
        <v>1326</v>
      </c>
      <c r="I42" s="254" t="e">
        <f>SUMIF('[3]2012 budget'!$A$9:$A$151,C42,'[3]2012 budget'!$H$9:$H$128)</f>
        <v>#VALUE!</v>
      </c>
      <c r="J42" s="250">
        <v>2546</v>
      </c>
      <c r="K42" s="126">
        <v>1403</v>
      </c>
      <c r="L42" s="303">
        <f t="shared" si="5"/>
        <v>0.55106048703849175</v>
      </c>
      <c r="M42" s="246">
        <v>1403</v>
      </c>
      <c r="N42" s="245">
        <f t="shared" si="6"/>
        <v>0.55106048703849175</v>
      </c>
      <c r="O42" s="278">
        <f t="shared" si="7"/>
        <v>0</v>
      </c>
      <c r="Q42" s="253"/>
    </row>
    <row r="43" spans="2:18" x14ac:dyDescent="0.25">
      <c r="C43" s="233">
        <v>4190004</v>
      </c>
      <c r="D43" s="230" t="s">
        <v>389</v>
      </c>
      <c r="E43" s="250">
        <v>6675</v>
      </c>
      <c r="F43" s="248">
        <f>8363.43*0.5512+3616.85</f>
        <v>8226.7726160000002</v>
      </c>
      <c r="G43" s="248">
        <v>2551</v>
      </c>
      <c r="H43" s="248">
        <v>0</v>
      </c>
      <c r="I43" s="254" t="e">
        <f>SUMIF('[3]2012 budget'!$A$9:$A$151,C43,'[3]2012 budget'!$H$9:$H$128)</f>
        <v>#VALUE!</v>
      </c>
      <c r="J43" s="250"/>
      <c r="K43" s="126"/>
      <c r="L43" s="303" t="e">
        <f t="shared" si="5"/>
        <v>#DIV/0!</v>
      </c>
      <c r="M43" s="246">
        <v>0</v>
      </c>
      <c r="N43" s="245" t="e">
        <f t="shared" si="6"/>
        <v>#DIV/0!</v>
      </c>
      <c r="O43" s="278">
        <f t="shared" si="7"/>
        <v>0</v>
      </c>
      <c r="Q43" s="253"/>
    </row>
    <row r="44" spans="2:18" x14ac:dyDescent="0.25">
      <c r="C44" s="233">
        <v>4190001.01</v>
      </c>
      <c r="D44" s="230" t="s">
        <v>390</v>
      </c>
      <c r="E44" s="250">
        <v>0</v>
      </c>
      <c r="F44" s="248"/>
      <c r="G44" s="248"/>
      <c r="H44" s="248">
        <v>3331</v>
      </c>
      <c r="I44" s="254" t="e">
        <f>SUMIF('[3]2012 budget'!$A$9:$A$151,C44,'[3]2012 budget'!$H$9:$H$128)</f>
        <v>#VALUE!</v>
      </c>
      <c r="J44" s="250">
        <v>6424</v>
      </c>
      <c r="K44" s="126">
        <v>3541</v>
      </c>
      <c r="L44" s="303">
        <f t="shared" si="5"/>
        <v>0.55121419676214201</v>
      </c>
      <c r="M44" s="246">
        <v>3541</v>
      </c>
      <c r="N44" s="245">
        <f t="shared" si="6"/>
        <v>0.55121419676214201</v>
      </c>
      <c r="O44" s="278">
        <f t="shared" si="7"/>
        <v>0</v>
      </c>
      <c r="Q44" s="253"/>
    </row>
    <row r="45" spans="2:18" x14ac:dyDescent="0.25">
      <c r="C45" s="233">
        <v>4190030.01</v>
      </c>
      <c r="D45" s="230" t="s">
        <v>391</v>
      </c>
      <c r="E45" s="250">
        <v>0</v>
      </c>
      <c r="F45" s="248"/>
      <c r="G45" s="248"/>
      <c r="H45" s="248">
        <v>0</v>
      </c>
      <c r="I45" s="254" t="e">
        <f>SUMIF('[3]2012 budget'!$A$9:$A$151,C45,'[3]2012 budget'!$H$9:$H$128)</f>
        <v>#VALUE!</v>
      </c>
      <c r="J45" s="250"/>
      <c r="K45" s="126"/>
      <c r="L45" s="303" t="e">
        <f t="shared" si="5"/>
        <v>#DIV/0!</v>
      </c>
      <c r="M45" s="246">
        <v>0</v>
      </c>
      <c r="N45" s="245" t="e">
        <f t="shared" si="6"/>
        <v>#DIV/0!</v>
      </c>
      <c r="O45" s="278">
        <f t="shared" si="7"/>
        <v>0</v>
      </c>
      <c r="Q45" s="253"/>
    </row>
    <row r="46" spans="2:18" x14ac:dyDescent="0.25">
      <c r="C46" s="233">
        <v>4190008</v>
      </c>
      <c r="D46" s="230" t="s">
        <v>392</v>
      </c>
      <c r="E46" s="250">
        <v>1342</v>
      </c>
      <c r="F46" s="248">
        <f>1500+1628.88</f>
        <v>3128.88</v>
      </c>
      <c r="G46" s="248">
        <v>854</v>
      </c>
      <c r="H46" s="248">
        <v>1321</v>
      </c>
      <c r="I46" s="254" t="e">
        <f>SUMIF('[3]2012 budget'!$A$9:$A$151,C46,'[3]2012 budget'!$H$9:$H$128)</f>
        <v>#VALUE!</v>
      </c>
      <c r="J46" s="250">
        <v>2629</v>
      </c>
      <c r="K46" s="126">
        <v>1449</v>
      </c>
      <c r="L46" s="303">
        <f t="shared" si="5"/>
        <v>0.55116013693419552</v>
      </c>
      <c r="M46" s="246">
        <v>1449</v>
      </c>
      <c r="N46" s="245">
        <f t="shared" si="6"/>
        <v>0.55116013693419552</v>
      </c>
      <c r="O46" s="278">
        <f t="shared" si="7"/>
        <v>0</v>
      </c>
      <c r="Q46" s="253"/>
    </row>
    <row r="47" spans="2:18" x14ac:dyDescent="0.25">
      <c r="D47" s="230" t="s">
        <v>393</v>
      </c>
      <c r="E47" s="250">
        <v>0</v>
      </c>
      <c r="F47" s="248"/>
      <c r="G47" s="248"/>
      <c r="H47" s="248">
        <v>0</v>
      </c>
      <c r="I47" s="254" t="e">
        <f>SUMIF('[3]2012 budget'!$A$9:$A$151,C47,'[3]2012 budget'!$H$9:$H$128)</f>
        <v>#VALUE!</v>
      </c>
      <c r="J47" s="250"/>
      <c r="K47" s="126"/>
      <c r="L47" s="303" t="e">
        <f t="shared" si="5"/>
        <v>#DIV/0!</v>
      </c>
      <c r="M47" s="246">
        <v>0</v>
      </c>
      <c r="N47" s="245" t="e">
        <f t="shared" si="6"/>
        <v>#DIV/0!</v>
      </c>
      <c r="O47" s="278">
        <f t="shared" si="7"/>
        <v>0</v>
      </c>
      <c r="Q47" s="253"/>
    </row>
    <row r="48" spans="2:18" x14ac:dyDescent="0.25">
      <c r="B48" s="233">
        <v>4210001</v>
      </c>
      <c r="C48" s="233">
        <v>4210001</v>
      </c>
      <c r="D48" s="230" t="s">
        <v>394</v>
      </c>
      <c r="E48" s="250">
        <v>0</v>
      </c>
      <c r="F48" s="248"/>
      <c r="G48" s="248"/>
      <c r="H48" s="248">
        <v>0</v>
      </c>
      <c r="I48" s="254" t="e">
        <f>SUMIF('[3]2012 budget'!$A$9:$A$151,C48,'[3]2012 budget'!$H$9:$H$128)</f>
        <v>#VALUE!</v>
      </c>
      <c r="J48" s="314">
        <v>14751</v>
      </c>
      <c r="K48" s="264">
        <v>14751</v>
      </c>
      <c r="L48" s="303">
        <f t="shared" si="5"/>
        <v>1</v>
      </c>
      <c r="M48" s="246">
        <v>14751</v>
      </c>
      <c r="N48" s="245">
        <f t="shared" si="6"/>
        <v>1</v>
      </c>
      <c r="O48" s="278">
        <f t="shared" si="7"/>
        <v>0</v>
      </c>
      <c r="Q48" s="253"/>
    </row>
    <row r="49" spans="1:20" x14ac:dyDescent="0.25">
      <c r="C49" s="233">
        <v>4220001</v>
      </c>
      <c r="D49" s="230" t="s">
        <v>395</v>
      </c>
      <c r="E49" s="250">
        <v>0</v>
      </c>
      <c r="F49" s="248"/>
      <c r="G49" s="248">
        <v>179</v>
      </c>
      <c r="H49" s="248">
        <v>170</v>
      </c>
      <c r="I49" s="254" t="e">
        <f>SUMIF('[3]2012 budget'!$A$9:$A$151,C49,'[3]2012 budget'!$H$9:$H$128)</f>
        <v>#VALUE!</v>
      </c>
      <c r="J49" s="250">
        <v>663</v>
      </c>
      <c r="K49" s="126">
        <v>365</v>
      </c>
      <c r="L49" s="303">
        <f t="shared" si="5"/>
        <v>0.55052790346907998</v>
      </c>
      <c r="M49" s="246">
        <v>365</v>
      </c>
      <c r="N49" s="245">
        <f t="shared" si="6"/>
        <v>0.55052790346907998</v>
      </c>
      <c r="O49" s="278">
        <f t="shared" si="7"/>
        <v>0</v>
      </c>
      <c r="Q49" s="253"/>
    </row>
    <row r="50" spans="1:20" ht="47.25" x14ac:dyDescent="0.25">
      <c r="D50" s="288" t="s">
        <v>479</v>
      </c>
      <c r="E50" s="250"/>
      <c r="F50" s="248"/>
      <c r="G50" s="248"/>
      <c r="H50" s="248"/>
      <c r="I50" s="254"/>
      <c r="J50" s="250">
        <v>2167</v>
      </c>
      <c r="K50" s="264">
        <v>1195</v>
      </c>
      <c r="L50" s="303">
        <f t="shared" si="5"/>
        <v>0.55145362251961239</v>
      </c>
      <c r="M50" s="314">
        <v>0</v>
      </c>
      <c r="N50" s="245">
        <f t="shared" si="6"/>
        <v>0</v>
      </c>
      <c r="O50" s="278">
        <f t="shared" si="7"/>
        <v>1195</v>
      </c>
      <c r="Q50" s="302" t="s">
        <v>478</v>
      </c>
    </row>
    <row r="51" spans="1:20" x14ac:dyDescent="0.25">
      <c r="C51" s="301">
        <v>4192001</v>
      </c>
      <c r="D51" s="230" t="s">
        <v>103</v>
      </c>
      <c r="E51" s="250">
        <v>2709</v>
      </c>
      <c r="F51" s="248">
        <v>1337</v>
      </c>
      <c r="G51" s="248">
        <v>1426</v>
      </c>
      <c r="H51" s="248">
        <v>2697</v>
      </c>
      <c r="I51" s="254" t="e">
        <f>SUMIF('[3]2012 budget'!$A$9:$A$151,C51,'[3]2012 budget'!$H$9:$H$128)</f>
        <v>#VALUE!</v>
      </c>
      <c r="J51" s="250">
        <v>5009</v>
      </c>
      <c r="K51" s="126">
        <v>2761</v>
      </c>
      <c r="L51" s="303">
        <f t="shared" si="5"/>
        <v>0.55120782591335593</v>
      </c>
      <c r="M51" s="246">
        <v>2761</v>
      </c>
      <c r="N51" s="245">
        <f t="shared" si="6"/>
        <v>0.55120782591335593</v>
      </c>
      <c r="O51" s="278">
        <f t="shared" si="7"/>
        <v>0</v>
      </c>
      <c r="Q51" s="302"/>
    </row>
    <row r="52" spans="1:20" x14ac:dyDescent="0.25">
      <c r="C52" s="233">
        <v>4190014</v>
      </c>
      <c r="D52" s="230" t="s">
        <v>7</v>
      </c>
      <c r="E52" s="250">
        <v>5656</v>
      </c>
      <c r="F52" s="248">
        <v>3110</v>
      </c>
      <c r="G52" s="248">
        <v>9518</v>
      </c>
      <c r="H52" s="248">
        <v>9041</v>
      </c>
      <c r="I52" s="254" t="e">
        <f>SUMIF('[3]2012 budget'!$A$9:$A$151,C52,'[3]2012 budget'!$H$9:$H$128)</f>
        <v>#VALUE!</v>
      </c>
      <c r="J52" s="250">
        <v>7931</v>
      </c>
      <c r="K52" s="126">
        <v>4371</v>
      </c>
      <c r="L52" s="303">
        <f t="shared" si="5"/>
        <v>0.55112848316731811</v>
      </c>
      <c r="M52" s="246">
        <v>4371</v>
      </c>
      <c r="N52" s="245">
        <f t="shared" si="6"/>
        <v>0.55112848316731811</v>
      </c>
      <c r="O52" s="278">
        <f t="shared" si="7"/>
        <v>0</v>
      </c>
      <c r="Q52" s="312"/>
    </row>
    <row r="53" spans="1:20" x14ac:dyDescent="0.25">
      <c r="C53" s="233">
        <v>4140001</v>
      </c>
      <c r="D53" s="230" t="s">
        <v>396</v>
      </c>
      <c r="E53" s="250">
        <v>1198</v>
      </c>
      <c r="F53" s="248">
        <v>1000</v>
      </c>
      <c r="G53" s="248">
        <v>884</v>
      </c>
      <c r="H53" s="248">
        <v>566</v>
      </c>
      <c r="I53" s="254" t="e">
        <f>SUMIF('[3]2012 budget'!$A$9:$A$151,C53,'[3]2012 budget'!$H$9:$H$128)</f>
        <v>#VALUE!</v>
      </c>
      <c r="J53" s="250">
        <v>663</v>
      </c>
      <c r="K53" s="126">
        <v>365</v>
      </c>
      <c r="L53" s="303">
        <f t="shared" si="5"/>
        <v>0.55052790346907998</v>
      </c>
      <c r="M53" s="246">
        <v>365</v>
      </c>
      <c r="N53" s="245">
        <f t="shared" si="6"/>
        <v>0.55052790346907998</v>
      </c>
      <c r="O53" s="278">
        <f t="shared" si="7"/>
        <v>0</v>
      </c>
      <c r="Q53" s="253"/>
    </row>
    <row r="54" spans="1:20" s="244" customFormat="1" x14ac:dyDescent="0.25">
      <c r="A54" s="233"/>
      <c r="B54" s="233"/>
      <c r="C54" s="233">
        <v>4150003</v>
      </c>
      <c r="D54" s="230" t="s">
        <v>397</v>
      </c>
      <c r="E54" s="250">
        <v>0</v>
      </c>
      <c r="F54" s="248">
        <v>326</v>
      </c>
      <c r="G54" s="248">
        <v>1000</v>
      </c>
      <c r="H54" s="248">
        <v>849</v>
      </c>
      <c r="I54" s="254" t="e">
        <f>SUMIF('[3]2012 budget'!$A$9:$A$151,C54,'[3]2012 budget'!$H$9:$H$128)</f>
        <v>#VALUE!</v>
      </c>
      <c r="J54" s="250">
        <v>1491</v>
      </c>
      <c r="K54" s="126">
        <v>822</v>
      </c>
      <c r="L54" s="303">
        <f t="shared" si="5"/>
        <v>0.55130784708249492</v>
      </c>
      <c r="M54" s="246">
        <v>822</v>
      </c>
      <c r="N54" s="245">
        <f t="shared" si="6"/>
        <v>0.55130784708249492</v>
      </c>
      <c r="O54" s="278">
        <f t="shared" si="7"/>
        <v>0</v>
      </c>
      <c r="Q54" s="253"/>
      <c r="R54" s="229"/>
      <c r="S54" s="227"/>
      <c r="T54" s="255"/>
    </row>
    <row r="55" spans="1:20" ht="16.5" thickBot="1" x14ac:dyDescent="0.3">
      <c r="D55" s="263" t="s">
        <v>10</v>
      </c>
      <c r="E55" s="300">
        <f t="shared" ref="E55:K55" si="8">SUM(E26:E54)</f>
        <v>118857</v>
      </c>
      <c r="F55" s="299">
        <f t="shared" si="8"/>
        <v>161455.65261600001</v>
      </c>
      <c r="G55" s="299">
        <f t="shared" si="8"/>
        <v>161274</v>
      </c>
      <c r="H55" s="299">
        <f t="shared" si="8"/>
        <v>168844.58240000001</v>
      </c>
      <c r="I55" s="298" t="e">
        <f t="shared" si="8"/>
        <v>#VALUE!</v>
      </c>
      <c r="J55" s="257">
        <f t="shared" si="8"/>
        <v>304998</v>
      </c>
      <c r="K55" s="259">
        <f t="shared" si="8"/>
        <v>164336</v>
      </c>
      <c r="L55" s="258">
        <f t="shared" si="5"/>
        <v>0.53881009055797091</v>
      </c>
      <c r="M55" s="259">
        <f>SUM(M26:M54)</f>
        <v>158415</v>
      </c>
      <c r="N55" s="258">
        <f t="shared" si="6"/>
        <v>0.51939684850392465</v>
      </c>
      <c r="O55" s="278"/>
      <c r="Q55" s="253"/>
    </row>
    <row r="56" spans="1:20" ht="16.5" thickTop="1" x14ac:dyDescent="0.25">
      <c r="A56" s="227"/>
      <c r="B56" s="227"/>
      <c r="C56" s="227"/>
      <c r="E56" s="249"/>
      <c r="F56" s="248"/>
      <c r="G56" s="248"/>
      <c r="H56" s="248"/>
      <c r="I56" s="254"/>
      <c r="J56" s="246"/>
      <c r="K56" s="247"/>
      <c r="L56" s="245"/>
      <c r="M56" s="246"/>
      <c r="N56" s="245"/>
      <c r="O56" s="278">
        <f>K56-M56</f>
        <v>0</v>
      </c>
      <c r="Q56" s="253"/>
    </row>
    <row r="57" spans="1:20" x14ac:dyDescent="0.25">
      <c r="A57" s="227"/>
      <c r="B57" s="227"/>
      <c r="C57" s="227"/>
      <c r="D57" s="244" t="s">
        <v>398</v>
      </c>
      <c r="E57" s="252"/>
      <c r="F57" s="251"/>
      <c r="G57" s="251"/>
      <c r="H57" s="251"/>
      <c r="I57" s="279"/>
      <c r="J57" s="250"/>
      <c r="K57" s="126"/>
      <c r="L57" s="245"/>
      <c r="M57" s="246"/>
      <c r="N57" s="245"/>
      <c r="O57" s="278">
        <f>K57-M57</f>
        <v>0</v>
      </c>
      <c r="Q57" s="253"/>
    </row>
    <row r="58" spans="1:20" ht="94.5" x14ac:dyDescent="0.25">
      <c r="C58" s="233">
        <v>4420014</v>
      </c>
      <c r="D58" s="230" t="s">
        <v>399</v>
      </c>
      <c r="E58" s="250">
        <v>0</v>
      </c>
      <c r="F58" s="248">
        <v>1675</v>
      </c>
      <c r="G58" s="248">
        <v>2368</v>
      </c>
      <c r="H58" s="248">
        <v>6554</v>
      </c>
      <c r="I58" s="254" t="e">
        <f>SUMIF('[3]2012 budget'!$A$9:$A$151,C58,'[3]2012 budget'!$H$9:$H$128)</f>
        <v>#VALUE!</v>
      </c>
      <c r="J58" s="250">
        <v>10773</v>
      </c>
      <c r="K58" s="264">
        <v>6142</v>
      </c>
      <c r="L58" s="313">
        <f>+K58/J58</f>
        <v>0.57012902626937711</v>
      </c>
      <c r="M58" s="314">
        <f>(J58-2608)*0.571</f>
        <v>4662.2149999999992</v>
      </c>
      <c r="N58" s="245">
        <f>+M58/J58</f>
        <v>0.43276849531235489</v>
      </c>
      <c r="O58" s="278">
        <f>K58-M58</f>
        <v>1479.7850000000008</v>
      </c>
      <c r="Q58" s="302" t="s">
        <v>477</v>
      </c>
      <c r="R58" s="315"/>
    </row>
    <row r="59" spans="1:20" ht="47.25" x14ac:dyDescent="0.25">
      <c r="D59" s="288" t="s">
        <v>476</v>
      </c>
      <c r="E59" s="250"/>
      <c r="F59" s="248"/>
      <c r="G59" s="248"/>
      <c r="H59" s="248"/>
      <c r="I59" s="304"/>
      <c r="J59" s="250">
        <v>1955</v>
      </c>
      <c r="K59" s="264">
        <v>1078</v>
      </c>
      <c r="L59" s="303"/>
      <c r="M59" s="246">
        <v>1078</v>
      </c>
      <c r="N59" s="245"/>
      <c r="O59" s="278"/>
      <c r="Q59" s="302" t="s">
        <v>475</v>
      </c>
      <c r="R59" s="315"/>
    </row>
    <row r="60" spans="1:20" x14ac:dyDescent="0.25">
      <c r="C60" s="233">
        <v>4430093</v>
      </c>
      <c r="D60" s="230" t="s">
        <v>400</v>
      </c>
      <c r="E60" s="250">
        <v>0</v>
      </c>
      <c r="F60" s="248">
        <v>0</v>
      </c>
      <c r="G60" s="248">
        <v>0</v>
      </c>
      <c r="H60" s="248">
        <v>0</v>
      </c>
      <c r="I60" s="254" t="e">
        <f>SUMIF('[3]2012 budget'!$A$9:$A$151,C60,'[3]2012 budget'!$H$9:$H$128)</f>
        <v>#VALUE!</v>
      </c>
      <c r="J60" s="250"/>
      <c r="K60" s="126"/>
      <c r="L60" s="303" t="e">
        <f t="shared" ref="L60:L83" si="9">+K60/J60</f>
        <v>#DIV/0!</v>
      </c>
      <c r="M60" s="246">
        <v>0</v>
      </c>
      <c r="N60" s="245" t="e">
        <f t="shared" ref="N60:N83" si="10">+M60/J60</f>
        <v>#DIV/0!</v>
      </c>
      <c r="O60" s="278">
        <f t="shared" ref="O60:O86" si="11">K60-M60</f>
        <v>0</v>
      </c>
      <c r="Q60" s="253"/>
    </row>
    <row r="61" spans="1:20" x14ac:dyDescent="0.25">
      <c r="B61" s="233">
        <v>4430022.05</v>
      </c>
      <c r="C61" s="233">
        <v>4430022.03</v>
      </c>
      <c r="D61" s="230" t="s">
        <v>401</v>
      </c>
      <c r="E61" s="250">
        <v>0</v>
      </c>
      <c r="F61" s="248">
        <v>0</v>
      </c>
      <c r="G61" s="248">
        <v>0</v>
      </c>
      <c r="H61" s="248">
        <v>0</v>
      </c>
      <c r="I61" s="254" t="e">
        <f>SUMIF('[3]2012 budget'!$A$9:$A$151,C61,'[3]2012 budget'!$H$9:$H$128)</f>
        <v>#VALUE!</v>
      </c>
      <c r="J61" s="250"/>
      <c r="K61" s="126"/>
      <c r="L61" s="303" t="e">
        <f t="shared" si="9"/>
        <v>#DIV/0!</v>
      </c>
      <c r="M61" s="246">
        <v>0</v>
      </c>
      <c r="N61" s="245" t="e">
        <f t="shared" si="10"/>
        <v>#DIV/0!</v>
      </c>
      <c r="O61" s="278">
        <f t="shared" si="11"/>
        <v>0</v>
      </c>
      <c r="Q61" s="253"/>
    </row>
    <row r="62" spans="1:20" x14ac:dyDescent="0.25">
      <c r="C62" s="233">
        <v>4430017</v>
      </c>
      <c r="D62" s="230" t="s">
        <v>402</v>
      </c>
      <c r="E62" s="250">
        <v>0</v>
      </c>
      <c r="F62" s="248">
        <v>4684</v>
      </c>
      <c r="G62" s="248">
        <v>781</v>
      </c>
      <c r="H62" s="248">
        <v>1909</v>
      </c>
      <c r="I62" s="254" t="e">
        <f>SUMIF('[3]2012 budget'!$A$9:$A$151,C62,'[3]2012 budget'!$H$9:$H$128)</f>
        <v>#VALUE!</v>
      </c>
      <c r="J62" s="250">
        <v>5624</v>
      </c>
      <c r="K62" s="126">
        <v>3100</v>
      </c>
      <c r="L62" s="303">
        <f t="shared" si="9"/>
        <v>0.55120910384068278</v>
      </c>
      <c r="M62" s="246">
        <v>3100</v>
      </c>
      <c r="N62" s="245">
        <f t="shared" si="10"/>
        <v>0.55120910384068278</v>
      </c>
      <c r="O62" s="278">
        <f t="shared" si="11"/>
        <v>0</v>
      </c>
      <c r="Q62" s="253"/>
    </row>
    <row r="63" spans="1:20" x14ac:dyDescent="0.25">
      <c r="C63" s="233">
        <v>4430001</v>
      </c>
      <c r="D63" s="230" t="s">
        <v>112</v>
      </c>
      <c r="E63" s="250">
        <v>0</v>
      </c>
      <c r="F63" s="248">
        <v>0</v>
      </c>
      <c r="G63" s="248">
        <v>0</v>
      </c>
      <c r="H63" s="248">
        <v>0</v>
      </c>
      <c r="I63" s="254" t="e">
        <f>SUMIF('[3]2012 budget'!$A$9:$A$151,C63,'[3]2012 budget'!$H$9:$H$128)</f>
        <v>#VALUE!</v>
      </c>
      <c r="J63" s="250"/>
      <c r="K63" s="126"/>
      <c r="L63" s="303" t="e">
        <f t="shared" si="9"/>
        <v>#DIV/0!</v>
      </c>
      <c r="M63" s="246">
        <v>0</v>
      </c>
      <c r="N63" s="245" t="e">
        <f t="shared" si="10"/>
        <v>#DIV/0!</v>
      </c>
      <c r="O63" s="278">
        <f t="shared" si="11"/>
        <v>0</v>
      </c>
      <c r="Q63" s="253"/>
    </row>
    <row r="64" spans="1:20" ht="126" x14ac:dyDescent="0.25">
      <c r="C64" s="233">
        <v>4430023.0199999996</v>
      </c>
      <c r="D64" s="230" t="s">
        <v>403</v>
      </c>
      <c r="E64" s="250">
        <v>0</v>
      </c>
      <c r="F64" s="248">
        <v>551</v>
      </c>
      <c r="G64" s="248">
        <v>0</v>
      </c>
      <c r="H64" s="248">
        <v>943</v>
      </c>
      <c r="I64" s="304" t="e">
        <f>SUMIF('[3]2012 budget'!$A$9:$A$151,C64,'[3]2012 budget'!$H$9:$H$128)</f>
        <v>#VALUE!</v>
      </c>
      <c r="J64" s="250">
        <v>19149</v>
      </c>
      <c r="K64" s="264">
        <v>10554</v>
      </c>
      <c r="L64" s="303">
        <f t="shared" si="9"/>
        <v>0.55115149616167947</v>
      </c>
      <c r="M64" s="246">
        <v>10554</v>
      </c>
      <c r="N64" s="245">
        <f t="shared" si="10"/>
        <v>0.55115149616167947</v>
      </c>
      <c r="O64" s="278">
        <f t="shared" si="11"/>
        <v>0</v>
      </c>
      <c r="Q64" s="302" t="s">
        <v>474</v>
      </c>
    </row>
    <row r="65" spans="1:17" x14ac:dyDescent="0.25">
      <c r="C65" s="233">
        <v>4430013</v>
      </c>
      <c r="D65" s="230" t="s">
        <v>16</v>
      </c>
      <c r="E65" s="250">
        <v>1177</v>
      </c>
      <c r="F65" s="248">
        <v>1198</v>
      </c>
      <c r="G65" s="248">
        <v>4047</v>
      </c>
      <c r="H65" s="248">
        <v>6190</v>
      </c>
      <c r="I65" s="254" t="e">
        <f>SUMIF('[3]2012 budget'!$A$9:$A$151,C65,'[3]2012 budget'!$H$9:$H$128)</f>
        <v>#VALUE!</v>
      </c>
      <c r="J65" s="250">
        <v>10813</v>
      </c>
      <c r="K65" s="126">
        <v>5938</v>
      </c>
      <c r="L65" s="303">
        <f t="shared" si="9"/>
        <v>0.54915379635623784</v>
      </c>
      <c r="M65" s="246">
        <v>5938</v>
      </c>
      <c r="N65" s="245">
        <f t="shared" si="10"/>
        <v>0.54915379635623784</v>
      </c>
      <c r="O65" s="278">
        <f t="shared" si="11"/>
        <v>0</v>
      </c>
      <c r="Q65" s="253"/>
    </row>
    <row r="66" spans="1:17" x14ac:dyDescent="0.25">
      <c r="C66" s="233">
        <v>4480001</v>
      </c>
      <c r="D66" s="230" t="s">
        <v>404</v>
      </c>
      <c r="E66" s="250">
        <v>0</v>
      </c>
      <c r="F66" s="248">
        <v>507</v>
      </c>
      <c r="G66" s="248">
        <v>492</v>
      </c>
      <c r="H66" s="248">
        <v>426</v>
      </c>
      <c r="I66" s="254"/>
      <c r="J66" s="250">
        <v>806</v>
      </c>
      <c r="K66" s="126">
        <v>444</v>
      </c>
      <c r="L66" s="303">
        <f t="shared" si="9"/>
        <v>0.5508684863523573</v>
      </c>
      <c r="M66" s="246">
        <v>444</v>
      </c>
      <c r="N66" s="245">
        <f t="shared" si="10"/>
        <v>0.5508684863523573</v>
      </c>
      <c r="O66" s="278">
        <f t="shared" si="11"/>
        <v>0</v>
      </c>
      <c r="Q66" s="253"/>
    </row>
    <row r="67" spans="1:17" x14ac:dyDescent="0.25">
      <c r="C67" s="233">
        <v>4410024</v>
      </c>
      <c r="D67" s="230" t="s">
        <v>405</v>
      </c>
      <c r="E67" s="250">
        <v>0</v>
      </c>
      <c r="F67" s="248">
        <v>51118</v>
      </c>
      <c r="G67" s="248">
        <v>53805</v>
      </c>
      <c r="H67" s="248">
        <v>58671</v>
      </c>
      <c r="I67" s="254" t="e">
        <f>SUMIF('[3]2012 budget'!$A$9:$A$151,C67,'[3]2012 budget'!$H$9:$H$128)</f>
        <v>#VALUE!</v>
      </c>
      <c r="J67" s="250">
        <v>99412</v>
      </c>
      <c r="K67" s="126">
        <v>54794</v>
      </c>
      <c r="L67" s="303">
        <f t="shared" si="9"/>
        <v>0.55118094395042849</v>
      </c>
      <c r="M67" s="246">
        <v>54794</v>
      </c>
      <c r="N67" s="245">
        <f t="shared" si="10"/>
        <v>0.55118094395042849</v>
      </c>
      <c r="O67" s="278">
        <f t="shared" si="11"/>
        <v>0</v>
      </c>
      <c r="Q67" s="312"/>
    </row>
    <row r="68" spans="1:17" x14ac:dyDescent="0.25">
      <c r="B68" s="233">
        <v>4420001.0199999996</v>
      </c>
      <c r="C68" s="233">
        <v>4420001.01</v>
      </c>
      <c r="D68" s="230" t="s">
        <v>406</v>
      </c>
      <c r="E68" s="250">
        <v>0</v>
      </c>
      <c r="F68" s="248">
        <v>5214</v>
      </c>
      <c r="G68" s="248">
        <v>2528</v>
      </c>
      <c r="H68" s="248">
        <v>5684</v>
      </c>
      <c r="I68" s="254" t="e">
        <f>SUMIF('[3]2012 budget'!$A$9:$A$151,C68,'[3]2012 budget'!$H$9:$H$128)</f>
        <v>#VALUE!</v>
      </c>
      <c r="J68" s="250">
        <v>7782</v>
      </c>
      <c r="K68" s="126">
        <v>4289</v>
      </c>
      <c r="L68" s="303">
        <f t="shared" si="9"/>
        <v>0.55114366486764332</v>
      </c>
      <c r="M68" s="246">
        <v>4289</v>
      </c>
      <c r="N68" s="245">
        <f t="shared" si="10"/>
        <v>0.55114366486764332</v>
      </c>
      <c r="O68" s="278">
        <f t="shared" si="11"/>
        <v>0</v>
      </c>
      <c r="Q68" s="302"/>
    </row>
    <row r="69" spans="1:17" ht="31.5" x14ac:dyDescent="0.25">
      <c r="A69" s="233">
        <v>4430011.01</v>
      </c>
      <c r="B69" s="233">
        <v>4420001.04</v>
      </c>
      <c r="C69" s="233">
        <v>4430011.0199999996</v>
      </c>
      <c r="D69" s="230" t="s">
        <v>407</v>
      </c>
      <c r="E69" s="250">
        <v>0</v>
      </c>
      <c r="F69" s="248">
        <f>12680+5716.92</f>
        <v>18396.919999999998</v>
      </c>
      <c r="G69" s="248">
        <v>8358</v>
      </c>
      <c r="H69" s="248">
        <v>9033</v>
      </c>
      <c r="I69" s="304" t="e">
        <f>SUMIF('[3]2012 budget'!$A$9:$A$151,C69,'[3]2012 budget'!$H$9:$H$128)</f>
        <v>#VALUE!</v>
      </c>
      <c r="J69" s="250">
        <v>20943</v>
      </c>
      <c r="K69" s="264">
        <v>11543</v>
      </c>
      <c r="L69" s="303">
        <f t="shared" si="9"/>
        <v>0.55116267965429977</v>
      </c>
      <c r="M69" s="246">
        <v>11543</v>
      </c>
      <c r="N69" s="245">
        <f t="shared" si="10"/>
        <v>0.55116267965429977</v>
      </c>
      <c r="O69" s="278">
        <f t="shared" si="11"/>
        <v>0</v>
      </c>
      <c r="Q69" s="302" t="s">
        <v>473</v>
      </c>
    </row>
    <row r="70" spans="1:17" x14ac:dyDescent="0.25">
      <c r="B70" s="233">
        <v>4410029.01</v>
      </c>
      <c r="C70" s="233">
        <v>4410065.0199999996</v>
      </c>
      <c r="D70" s="230" t="s">
        <v>21</v>
      </c>
      <c r="E70" s="250">
        <v>28681</v>
      </c>
      <c r="F70" s="248"/>
      <c r="G70" s="248">
        <v>0</v>
      </c>
      <c r="H70" s="248">
        <v>0</v>
      </c>
      <c r="I70" s="254" t="e">
        <f>SUMIF('[3]2012 budget'!$A$9:$A$151,C70,'[3]2012 budget'!$H$9:$H$128)</f>
        <v>#VALUE!</v>
      </c>
      <c r="J70" s="250"/>
      <c r="K70" s="126"/>
      <c r="L70" s="303" t="e">
        <f t="shared" si="9"/>
        <v>#DIV/0!</v>
      </c>
      <c r="M70" s="246">
        <v>0</v>
      </c>
      <c r="N70" s="245" t="e">
        <f t="shared" si="10"/>
        <v>#DIV/0!</v>
      </c>
      <c r="O70" s="278">
        <f t="shared" si="11"/>
        <v>0</v>
      </c>
      <c r="Q70" s="253"/>
    </row>
    <row r="71" spans="1:17" x14ac:dyDescent="0.25">
      <c r="C71" s="233">
        <v>4420001.03</v>
      </c>
      <c r="D71" s="230" t="s">
        <v>323</v>
      </c>
      <c r="E71" s="250">
        <v>8319</v>
      </c>
      <c r="F71" s="248"/>
      <c r="G71" s="248">
        <v>0</v>
      </c>
      <c r="H71" s="248">
        <v>0</v>
      </c>
      <c r="I71" s="254" t="e">
        <f>SUMIF('[3]2012 budget'!$A$9:$A$151,C71,'[3]2012 budget'!$H$9:$H$128)</f>
        <v>#VALUE!</v>
      </c>
      <c r="J71" s="250"/>
      <c r="K71" s="126"/>
      <c r="L71" s="303" t="e">
        <f t="shared" si="9"/>
        <v>#DIV/0!</v>
      </c>
      <c r="M71" s="246">
        <v>0</v>
      </c>
      <c r="N71" s="245" t="e">
        <f t="shared" si="10"/>
        <v>#DIV/0!</v>
      </c>
      <c r="O71" s="278">
        <f t="shared" si="11"/>
        <v>0</v>
      </c>
      <c r="Q71" s="253"/>
    </row>
    <row r="72" spans="1:17" x14ac:dyDescent="0.25">
      <c r="D72" s="230" t="s">
        <v>408</v>
      </c>
      <c r="E72" s="250">
        <v>527</v>
      </c>
      <c r="F72" s="248">
        <v>0</v>
      </c>
      <c r="G72" s="248">
        <v>8316</v>
      </c>
      <c r="H72" s="248"/>
      <c r="I72" s="254" t="e">
        <f>SUMIF('[3]2012 budget'!$A$9:$A$151,C72,'[3]2012 budget'!$H$9:$H$128)</f>
        <v>#VALUE!</v>
      </c>
      <c r="J72" s="250"/>
      <c r="K72" s="126"/>
      <c r="L72" s="303" t="e">
        <f t="shared" si="9"/>
        <v>#DIV/0!</v>
      </c>
      <c r="M72" s="246">
        <v>0</v>
      </c>
      <c r="N72" s="245" t="e">
        <f t="shared" si="10"/>
        <v>#DIV/0!</v>
      </c>
      <c r="O72" s="278">
        <f t="shared" si="11"/>
        <v>0</v>
      </c>
      <c r="P72" s="227" t="s">
        <v>472</v>
      </c>
      <c r="Q72" s="302"/>
    </row>
    <row r="73" spans="1:17" ht="31.5" x14ac:dyDescent="0.25">
      <c r="B73" s="227"/>
      <c r="C73" s="233">
        <v>4420013</v>
      </c>
      <c r="D73" s="230" t="s">
        <v>409</v>
      </c>
      <c r="E73" s="250">
        <v>1450</v>
      </c>
      <c r="F73" s="248">
        <v>11937</v>
      </c>
      <c r="G73" s="248">
        <v>5255</v>
      </c>
      <c r="H73" s="248">
        <v>10244</v>
      </c>
      <c r="I73" s="304" t="e">
        <f>SUMIF('[3]2012 budget'!$A$9:$A$151,C73,'[3]2012 budget'!$H$9:$H$128)</f>
        <v>#VALUE!</v>
      </c>
      <c r="J73" s="250">
        <v>51211</v>
      </c>
      <c r="K73" s="264">
        <v>27584</v>
      </c>
      <c r="L73" s="303">
        <f t="shared" si="9"/>
        <v>0.53863427779188067</v>
      </c>
      <c r="M73" s="246">
        <v>27584</v>
      </c>
      <c r="N73" s="245">
        <f t="shared" si="10"/>
        <v>0.53863427779188067</v>
      </c>
      <c r="O73" s="278">
        <f t="shared" si="11"/>
        <v>0</v>
      </c>
      <c r="Q73" s="302" t="s">
        <v>471</v>
      </c>
    </row>
    <row r="74" spans="1:17" x14ac:dyDescent="0.25">
      <c r="C74" s="233">
        <v>4430023.01</v>
      </c>
      <c r="D74" s="230" t="s">
        <v>410</v>
      </c>
      <c r="E74" s="250">
        <v>0</v>
      </c>
      <c r="F74" s="248"/>
      <c r="G74" s="248">
        <v>0</v>
      </c>
      <c r="H74" s="248">
        <v>0</v>
      </c>
      <c r="I74" s="254" t="e">
        <f>SUMIF('[3]2012 budget'!$A$9:$A$151,C74,'[3]2012 budget'!$H$9:$H$128)</f>
        <v>#VALUE!</v>
      </c>
      <c r="J74" s="250"/>
      <c r="K74" s="126"/>
      <c r="L74" s="303" t="e">
        <f t="shared" si="9"/>
        <v>#DIV/0!</v>
      </c>
      <c r="M74" s="246">
        <v>0</v>
      </c>
      <c r="N74" s="245" t="e">
        <f t="shared" si="10"/>
        <v>#DIV/0!</v>
      </c>
      <c r="O74" s="278">
        <f t="shared" si="11"/>
        <v>0</v>
      </c>
      <c r="Q74" s="253"/>
    </row>
    <row r="75" spans="1:17" ht="47.25" x14ac:dyDescent="0.25">
      <c r="C75" s="233">
        <v>4430103</v>
      </c>
      <c r="D75" s="230" t="s">
        <v>411</v>
      </c>
      <c r="E75" s="250">
        <v>1807</v>
      </c>
      <c r="F75" s="248">
        <v>7769</v>
      </c>
      <c r="G75" s="248">
        <v>2548</v>
      </c>
      <c r="H75" s="248">
        <v>3712</v>
      </c>
      <c r="I75" s="254" t="e">
        <f>SUMIF('[3]2012 budget'!$A$9:$A$151,C75,'[3]2012 budget'!$H$9:$H$128)</f>
        <v>#VALUE!</v>
      </c>
      <c r="J75" s="250">
        <v>6864</v>
      </c>
      <c r="K75" s="264">
        <v>4255</v>
      </c>
      <c r="L75" s="313">
        <f t="shared" si="9"/>
        <v>0.61990093240093236</v>
      </c>
      <c r="M75" s="246">
        <v>4255</v>
      </c>
      <c r="N75" s="245">
        <f t="shared" si="10"/>
        <v>0.61990093240093236</v>
      </c>
      <c r="O75" s="278">
        <f t="shared" si="11"/>
        <v>0</v>
      </c>
      <c r="Q75" s="302" t="s">
        <v>470</v>
      </c>
    </row>
    <row r="76" spans="1:17" ht="63" x14ac:dyDescent="0.25">
      <c r="B76" s="233">
        <v>4420012</v>
      </c>
      <c r="C76" s="233">
        <v>4430022.04</v>
      </c>
      <c r="D76" s="230" t="s">
        <v>412</v>
      </c>
      <c r="E76" s="250">
        <v>1419</v>
      </c>
      <c r="F76" s="248">
        <v>9509</v>
      </c>
      <c r="G76" s="248">
        <v>1356</v>
      </c>
      <c r="H76" s="248">
        <v>12804</v>
      </c>
      <c r="I76" s="254" t="e">
        <f>SUMIF('[3]2012 budget'!$A$9:$A$151,C76,'[3]2012 budget'!$H$9:$H$128)</f>
        <v>#VALUE!</v>
      </c>
      <c r="J76" s="314">
        <v>34725</v>
      </c>
      <c r="K76" s="264">
        <v>22421</v>
      </c>
      <c r="L76" s="313">
        <f t="shared" si="9"/>
        <v>0.64567314614830817</v>
      </c>
      <c r="M76" s="246">
        <v>22421</v>
      </c>
      <c r="N76" s="245">
        <f t="shared" si="10"/>
        <v>0.64567314614830817</v>
      </c>
      <c r="O76" s="278">
        <f t="shared" si="11"/>
        <v>0</v>
      </c>
      <c r="Q76" s="302" t="s">
        <v>469</v>
      </c>
    </row>
    <row r="77" spans="1:17" x14ac:dyDescent="0.25">
      <c r="B77" s="233">
        <v>4420010</v>
      </c>
      <c r="C77" s="233">
        <v>4430018</v>
      </c>
      <c r="D77" s="230" t="s">
        <v>413</v>
      </c>
      <c r="E77" s="250">
        <v>0</v>
      </c>
      <c r="F77" s="248">
        <v>710</v>
      </c>
      <c r="G77" s="248">
        <v>671</v>
      </c>
      <c r="H77" s="248">
        <v>1619</v>
      </c>
      <c r="I77" s="254" t="e">
        <f>SUMIF('[3]2012 budget'!$A$9:$A$151,C77,'[3]2012 budget'!$H$9:$H$128)</f>
        <v>#VALUE!</v>
      </c>
      <c r="J77" s="250">
        <v>3586</v>
      </c>
      <c r="K77" s="126">
        <v>1976</v>
      </c>
      <c r="L77" s="303">
        <f t="shared" si="9"/>
        <v>0.55103179029559402</v>
      </c>
      <c r="M77" s="246">
        <v>1976</v>
      </c>
      <c r="N77" s="245">
        <f t="shared" si="10"/>
        <v>0.55103179029559402</v>
      </c>
      <c r="O77" s="278">
        <f t="shared" si="11"/>
        <v>0</v>
      </c>
      <c r="Q77" s="253"/>
    </row>
    <row r="78" spans="1:17" x14ac:dyDescent="0.25">
      <c r="C78" s="301">
        <v>4430022.05</v>
      </c>
      <c r="D78" s="230" t="s">
        <v>113</v>
      </c>
      <c r="E78" s="250"/>
      <c r="F78" s="248"/>
      <c r="G78" s="248">
        <v>0</v>
      </c>
      <c r="H78" s="248">
        <v>0</v>
      </c>
      <c r="I78" s="254" t="e">
        <f>SUMIF('[3]2012 budget'!$A$9:$A$151,C78,'[3]2012 budget'!$H$9:$H$128)</f>
        <v>#VALUE!</v>
      </c>
      <c r="J78" s="250">
        <v>2518</v>
      </c>
      <c r="K78" s="126">
        <v>1388</v>
      </c>
      <c r="L78" s="303">
        <f t="shared" si="9"/>
        <v>0.55123113582208105</v>
      </c>
      <c r="M78" s="246">
        <v>1388</v>
      </c>
      <c r="N78" s="245">
        <f t="shared" si="10"/>
        <v>0.55123113582208105</v>
      </c>
      <c r="O78" s="278">
        <f t="shared" si="11"/>
        <v>0</v>
      </c>
      <c r="Q78" s="253"/>
    </row>
    <row r="79" spans="1:17" ht="63" x14ac:dyDescent="0.25">
      <c r="C79" s="305">
        <v>4420011.03</v>
      </c>
      <c r="D79" s="230" t="s">
        <v>414</v>
      </c>
      <c r="E79" s="250">
        <v>0</v>
      </c>
      <c r="F79" s="248">
        <v>3126</v>
      </c>
      <c r="G79" s="248">
        <v>2605</v>
      </c>
      <c r="H79" s="248">
        <v>3940</v>
      </c>
      <c r="I79" s="304">
        <v>2500</v>
      </c>
      <c r="J79" s="250">
        <v>14403</v>
      </c>
      <c r="K79" s="264">
        <v>7939</v>
      </c>
      <c r="L79" s="303">
        <f t="shared" si="9"/>
        <v>0.55120461015066302</v>
      </c>
      <c r="M79" s="246">
        <v>7939</v>
      </c>
      <c r="N79" s="245">
        <f t="shared" si="10"/>
        <v>0.55120461015066302</v>
      </c>
      <c r="O79" s="278">
        <f t="shared" si="11"/>
        <v>0</v>
      </c>
      <c r="Q79" s="302" t="s">
        <v>468</v>
      </c>
    </row>
    <row r="80" spans="1:17" x14ac:dyDescent="0.25">
      <c r="C80" s="233">
        <v>4430003</v>
      </c>
      <c r="D80" s="230" t="s">
        <v>17</v>
      </c>
      <c r="E80" s="250">
        <v>3274</v>
      </c>
      <c r="F80" s="248">
        <v>9193</v>
      </c>
      <c r="G80" s="248">
        <v>9783</v>
      </c>
      <c r="H80" s="248">
        <v>10046</v>
      </c>
      <c r="I80" s="254" t="e">
        <f>SUMIF('[3]2012 budget'!$A$9:$A$151,C80,'[3]2012 budget'!$H$9:$H$128)</f>
        <v>#VALUE!</v>
      </c>
      <c r="J80" s="250">
        <v>18960</v>
      </c>
      <c r="K80" s="126">
        <v>10451</v>
      </c>
      <c r="L80" s="303">
        <f t="shared" si="9"/>
        <v>0.55121308016877635</v>
      </c>
      <c r="M80" s="246">
        <v>10451</v>
      </c>
      <c r="N80" s="245">
        <f t="shared" si="10"/>
        <v>0.55121308016877635</v>
      </c>
      <c r="O80" s="278">
        <f t="shared" si="11"/>
        <v>0</v>
      </c>
      <c r="Q80" s="253"/>
    </row>
    <row r="81" spans="1:20" x14ac:dyDescent="0.25">
      <c r="C81" s="233">
        <v>4480001</v>
      </c>
      <c r="D81" s="230" t="s">
        <v>415</v>
      </c>
      <c r="E81" s="250">
        <v>587</v>
      </c>
      <c r="F81" s="248">
        <v>482</v>
      </c>
      <c r="G81" s="248">
        <v>315</v>
      </c>
      <c r="H81" s="248">
        <v>20935</v>
      </c>
      <c r="I81" s="254" t="e">
        <f>SUMIF('[3]2012 budget'!$A$9:$A$151,C81,'[3]2012 budget'!$H$9:$H$128)</f>
        <v>#VALUE!</v>
      </c>
      <c r="J81" s="250">
        <v>24042</v>
      </c>
      <c r="K81" s="126">
        <v>13252</v>
      </c>
      <c r="L81" s="303">
        <f t="shared" si="9"/>
        <v>0.55120206305631814</v>
      </c>
      <c r="M81" s="246">
        <v>13252</v>
      </c>
      <c r="N81" s="245">
        <f t="shared" si="10"/>
        <v>0.55120206305631814</v>
      </c>
      <c r="O81" s="278">
        <f t="shared" si="11"/>
        <v>0</v>
      </c>
      <c r="Q81" s="312"/>
    </row>
    <row r="82" spans="1:20" x14ac:dyDescent="0.25">
      <c r="B82" s="233">
        <v>4420001.0199999996</v>
      </c>
      <c r="C82" s="233">
        <v>4420001.01</v>
      </c>
      <c r="D82" s="230" t="s">
        <v>416</v>
      </c>
      <c r="E82" s="250"/>
      <c r="F82" s="248">
        <v>1278</v>
      </c>
      <c r="G82" s="248">
        <v>1006</v>
      </c>
      <c r="H82" s="248">
        <v>0</v>
      </c>
      <c r="I82" s="254"/>
      <c r="J82" s="250"/>
      <c r="K82" s="126"/>
      <c r="L82" s="303" t="e">
        <f t="shared" si="9"/>
        <v>#DIV/0!</v>
      </c>
      <c r="M82" s="246">
        <v>0</v>
      </c>
      <c r="N82" s="245" t="e">
        <f t="shared" si="10"/>
        <v>#DIV/0!</v>
      </c>
      <c r="O82" s="278">
        <f t="shared" si="11"/>
        <v>0</v>
      </c>
      <c r="Q82" s="253"/>
    </row>
    <row r="83" spans="1:20" x14ac:dyDescent="0.25">
      <c r="C83" s="233">
        <v>4430012</v>
      </c>
      <c r="D83" s="230" t="s">
        <v>417</v>
      </c>
      <c r="E83" s="250">
        <v>30544</v>
      </c>
      <c r="F83" s="248">
        <v>21867</v>
      </c>
      <c r="G83" s="248">
        <v>24516</v>
      </c>
      <c r="H83" s="248">
        <v>9516</v>
      </c>
      <c r="I83" s="254" t="e">
        <f>SUMIF('[3]2012 budget'!$A$9:$A$151,C83,'[3]2012 budget'!$H$9:$H$128)</f>
        <v>#VALUE!</v>
      </c>
      <c r="J83" s="250">
        <v>10174</v>
      </c>
      <c r="K83" s="126">
        <v>5607</v>
      </c>
      <c r="L83" s="303">
        <f t="shared" si="9"/>
        <v>0.5511106742677413</v>
      </c>
      <c r="M83" s="246">
        <v>5607</v>
      </c>
      <c r="N83" s="245">
        <f t="shared" si="10"/>
        <v>0.5511106742677413</v>
      </c>
      <c r="O83" s="278">
        <f t="shared" si="11"/>
        <v>0</v>
      </c>
      <c r="Q83" s="253"/>
    </row>
    <row r="84" spans="1:20" x14ac:dyDescent="0.25">
      <c r="C84" s="305">
        <v>4430024</v>
      </c>
      <c r="D84" s="230" t="s">
        <v>418</v>
      </c>
      <c r="E84" s="250"/>
      <c r="F84" s="248">
        <v>0</v>
      </c>
      <c r="G84" s="248"/>
      <c r="H84" s="248">
        <v>0</v>
      </c>
      <c r="I84" s="254" t="e">
        <f>SUMIF('[3]2012 budget'!$A$9:$A$151,C84,'[3]2012 budget'!$H$9:$H$128)</f>
        <v>#VALUE!</v>
      </c>
      <c r="J84" s="250"/>
      <c r="K84" s="126"/>
      <c r="L84" s="303"/>
      <c r="M84" s="246">
        <v>0</v>
      </c>
      <c r="N84" s="245"/>
      <c r="O84" s="278">
        <f t="shared" si="11"/>
        <v>0</v>
      </c>
      <c r="Q84" s="253"/>
    </row>
    <row r="85" spans="1:20" x14ac:dyDescent="0.25">
      <c r="C85" s="233">
        <v>4430021</v>
      </c>
      <c r="D85" s="230" t="s">
        <v>32</v>
      </c>
      <c r="E85" s="250">
        <v>0</v>
      </c>
      <c r="F85" s="248">
        <v>123</v>
      </c>
      <c r="G85" s="248">
        <v>83</v>
      </c>
      <c r="H85" s="248">
        <v>308</v>
      </c>
      <c r="I85" s="254" t="e">
        <f>SUMIF('[3]2012 budget'!$A$9:$A$151,C85,'[3]2012 budget'!$H$9:$H$128)</f>
        <v>#VALUE!</v>
      </c>
      <c r="J85" s="250">
        <v>201</v>
      </c>
      <c r="K85" s="126">
        <v>111</v>
      </c>
      <c r="L85" s="303">
        <f>+K85/J85</f>
        <v>0.55223880597014929</v>
      </c>
      <c r="M85" s="246">
        <v>111</v>
      </c>
      <c r="N85" s="245">
        <f>+M85/J85</f>
        <v>0.55223880597014929</v>
      </c>
      <c r="O85" s="278">
        <f t="shared" si="11"/>
        <v>0</v>
      </c>
      <c r="Q85" s="253"/>
    </row>
    <row r="86" spans="1:20" s="244" customFormat="1" x14ac:dyDescent="0.25">
      <c r="A86" s="233"/>
      <c r="B86" s="233"/>
      <c r="C86" s="233">
        <v>4430008</v>
      </c>
      <c r="D86" s="230" t="s">
        <v>419</v>
      </c>
      <c r="E86" s="250">
        <v>137</v>
      </c>
      <c r="F86" s="248">
        <v>286</v>
      </c>
      <c r="G86" s="248">
        <v>15</v>
      </c>
      <c r="H86" s="248">
        <v>154</v>
      </c>
      <c r="I86" s="254" t="e">
        <f>SUMIF('[3]2012 budget'!$A$9:$A$151,C86,'[3]2012 budget'!$H$9:$H$128)</f>
        <v>#VALUE!</v>
      </c>
      <c r="J86" s="250"/>
      <c r="K86" s="126"/>
      <c r="L86" s="303" t="e">
        <f>+K86/J86</f>
        <v>#DIV/0!</v>
      </c>
      <c r="M86" s="246">
        <v>0</v>
      </c>
      <c r="N86" s="245" t="e">
        <f>+M86/J86</f>
        <v>#DIV/0!</v>
      </c>
      <c r="O86" s="278">
        <f t="shared" si="11"/>
        <v>0</v>
      </c>
      <c r="Q86" s="253"/>
      <c r="R86" s="229"/>
      <c r="S86" s="227"/>
      <c r="T86" s="255"/>
    </row>
    <row r="87" spans="1:20" ht="16.5" thickBot="1" x14ac:dyDescent="0.3">
      <c r="C87" s="227"/>
      <c r="D87" s="263" t="s">
        <v>420</v>
      </c>
      <c r="E87" s="300">
        <f t="shared" ref="E87:K87" si="12">SUM(E58:E86)</f>
        <v>77922</v>
      </c>
      <c r="F87" s="299">
        <f t="shared" si="12"/>
        <v>149623.91999999998</v>
      </c>
      <c r="G87" s="299">
        <f t="shared" si="12"/>
        <v>128848</v>
      </c>
      <c r="H87" s="299">
        <f t="shared" si="12"/>
        <v>162688</v>
      </c>
      <c r="I87" s="298" t="e">
        <f t="shared" si="12"/>
        <v>#VALUE!</v>
      </c>
      <c r="J87" s="257">
        <f t="shared" si="12"/>
        <v>343941</v>
      </c>
      <c r="K87" s="259">
        <f t="shared" si="12"/>
        <v>192866</v>
      </c>
      <c r="L87" s="258">
        <f>+K87/J87</f>
        <v>0.56075315243021329</v>
      </c>
      <c r="M87" s="259">
        <f>SUM(M58:M86)</f>
        <v>191386.215</v>
      </c>
      <c r="N87" s="258">
        <f>+M87/J87</f>
        <v>0.55645071393058687</v>
      </c>
      <c r="O87" s="278"/>
      <c r="Q87" s="253"/>
    </row>
    <row r="88" spans="1:20" ht="16.5" thickTop="1" x14ac:dyDescent="0.25">
      <c r="D88" s="311"/>
      <c r="E88" s="310"/>
      <c r="F88" s="309"/>
      <c r="G88" s="309"/>
      <c r="H88" s="309"/>
      <c r="I88" s="308"/>
      <c r="J88" s="246"/>
      <c r="K88" s="247"/>
      <c r="L88" s="245"/>
      <c r="M88" s="246"/>
      <c r="N88" s="245"/>
      <c r="O88" s="278">
        <f t="shared" ref="O88:O105" si="13">K88-M88</f>
        <v>0</v>
      </c>
      <c r="Q88" s="253"/>
    </row>
    <row r="89" spans="1:20" x14ac:dyDescent="0.25">
      <c r="D89" s="311" t="s">
        <v>36</v>
      </c>
      <c r="E89" s="310"/>
      <c r="F89" s="309"/>
      <c r="G89" s="309"/>
      <c r="H89" s="309"/>
      <c r="I89" s="308"/>
      <c r="J89" s="246"/>
      <c r="K89" s="247"/>
      <c r="L89" s="245"/>
      <c r="M89" s="246"/>
      <c r="N89" s="245"/>
      <c r="O89" s="278">
        <f t="shared" si="13"/>
        <v>0</v>
      </c>
      <c r="Q89" s="253"/>
    </row>
    <row r="90" spans="1:20" x14ac:dyDescent="0.25">
      <c r="D90" s="230" t="s">
        <v>38</v>
      </c>
      <c r="E90" s="307">
        <v>12332</v>
      </c>
      <c r="F90" s="306">
        <v>11725</v>
      </c>
      <c r="G90" s="306">
        <v>12808</v>
      </c>
      <c r="H90" s="306">
        <v>11124</v>
      </c>
      <c r="I90" s="254">
        <v>12295</v>
      </c>
      <c r="J90" s="250">
        <v>21837</v>
      </c>
      <c r="K90" s="126">
        <v>12036</v>
      </c>
      <c r="L90" s="245">
        <f>+K90/J90</f>
        <v>0.5511746118972386</v>
      </c>
      <c r="M90" s="246">
        <v>12036</v>
      </c>
      <c r="N90" s="245">
        <f>+M90/J90</f>
        <v>0.5511746118972386</v>
      </c>
      <c r="O90" s="278">
        <f t="shared" si="13"/>
        <v>0</v>
      </c>
      <c r="Q90" s="253"/>
    </row>
    <row r="91" spans="1:20" x14ac:dyDescent="0.25">
      <c r="C91" s="233">
        <v>4320001</v>
      </c>
      <c r="D91" s="227" t="s">
        <v>421</v>
      </c>
      <c r="E91" s="249">
        <v>7194</v>
      </c>
      <c r="F91" s="248">
        <v>1107</v>
      </c>
      <c r="G91" s="248">
        <v>2307</v>
      </c>
      <c r="H91" s="248">
        <v>2595</v>
      </c>
      <c r="I91" s="254">
        <v>3025</v>
      </c>
      <c r="J91" s="246">
        <v>4126</v>
      </c>
      <c r="K91" s="247">
        <v>2274</v>
      </c>
      <c r="L91" s="245">
        <f>+K91/J91</f>
        <v>0.55113911778962676</v>
      </c>
      <c r="M91" s="246">
        <v>2274</v>
      </c>
      <c r="N91" s="245">
        <f>+M91/J91</f>
        <v>0.55113911778962676</v>
      </c>
      <c r="O91" s="278">
        <f t="shared" si="13"/>
        <v>0</v>
      </c>
      <c r="Q91" s="253"/>
    </row>
    <row r="92" spans="1:20" x14ac:dyDescent="0.25">
      <c r="C92" s="233">
        <v>4330001</v>
      </c>
      <c r="D92" s="227" t="s">
        <v>422</v>
      </c>
      <c r="E92" s="249">
        <v>0</v>
      </c>
      <c r="F92" s="248"/>
      <c r="G92" s="248"/>
      <c r="H92" s="248">
        <v>0</v>
      </c>
      <c r="I92" s="254">
        <v>0</v>
      </c>
      <c r="J92" s="246"/>
      <c r="K92" s="247"/>
      <c r="L92" s="245" t="e">
        <f>+K92/J92</f>
        <v>#DIV/0!</v>
      </c>
      <c r="M92" s="246">
        <v>0</v>
      </c>
      <c r="N92" s="245" t="e">
        <f>+M92/J92</f>
        <v>#DIV/0!</v>
      </c>
      <c r="O92" s="278">
        <f t="shared" si="13"/>
        <v>0</v>
      </c>
      <c r="Q92" s="253"/>
    </row>
    <row r="93" spans="1:20" s="244" customFormat="1" x14ac:dyDescent="0.25">
      <c r="A93" s="233"/>
      <c r="B93" s="233"/>
      <c r="C93" s="301">
        <v>4310001</v>
      </c>
      <c r="D93" s="227" t="s">
        <v>39</v>
      </c>
      <c r="E93" s="249">
        <v>13437</v>
      </c>
      <c r="F93" s="248">
        <v>20202</v>
      </c>
      <c r="G93" s="248">
        <v>20012</v>
      </c>
      <c r="H93" s="248">
        <v>23092</v>
      </c>
      <c r="I93" s="254" t="e">
        <f>SUMIF('[3]2012 budget'!$A$9:$A$151,C93,'[3]2012 budget'!$H$9:$H$128)</f>
        <v>#VALUE!</v>
      </c>
      <c r="J93" s="246">
        <f>22603+25349</f>
        <v>47952</v>
      </c>
      <c r="K93" s="247">
        <f>12458+13972</f>
        <v>26430</v>
      </c>
      <c r="L93" s="245">
        <f>+K93/J93</f>
        <v>0.5511761761761762</v>
      </c>
      <c r="M93" s="246">
        <v>26430</v>
      </c>
      <c r="N93" s="245">
        <f>+M93/J93</f>
        <v>0.5511761761761762</v>
      </c>
      <c r="O93" s="278">
        <f t="shared" si="13"/>
        <v>0</v>
      </c>
      <c r="Q93" s="253"/>
      <c r="R93" s="229"/>
      <c r="S93" s="227"/>
      <c r="T93" s="255"/>
    </row>
    <row r="94" spans="1:20" ht="16.5" thickBot="1" x14ac:dyDescent="0.3">
      <c r="C94" s="233">
        <v>4310001</v>
      </c>
      <c r="D94" s="263" t="s">
        <v>40</v>
      </c>
      <c r="E94" s="262">
        <f t="shared" ref="E94:K94" si="14">SUM(E90:E93)</f>
        <v>32963</v>
      </c>
      <c r="F94" s="261">
        <f t="shared" si="14"/>
        <v>33034</v>
      </c>
      <c r="G94" s="261">
        <f t="shared" si="14"/>
        <v>35127</v>
      </c>
      <c r="H94" s="261">
        <f t="shared" si="14"/>
        <v>36811</v>
      </c>
      <c r="I94" s="260" t="e">
        <f t="shared" si="14"/>
        <v>#VALUE!</v>
      </c>
      <c r="J94" s="257">
        <f t="shared" si="14"/>
        <v>73915</v>
      </c>
      <c r="K94" s="259">
        <f t="shared" si="14"/>
        <v>40740</v>
      </c>
      <c r="L94" s="258">
        <f>+K94/J94</f>
        <v>0.551173645403504</v>
      </c>
      <c r="M94" s="259">
        <f>SUM(M90:M93)</f>
        <v>40740</v>
      </c>
      <c r="N94" s="258">
        <f>+M94/J94</f>
        <v>0.551173645403504</v>
      </c>
      <c r="O94" s="278">
        <f t="shared" si="13"/>
        <v>0</v>
      </c>
      <c r="Q94" s="253"/>
    </row>
    <row r="95" spans="1:20" ht="16.5" thickTop="1" x14ac:dyDescent="0.25">
      <c r="E95" s="249"/>
      <c r="F95" s="248"/>
      <c r="G95" s="248"/>
      <c r="H95" s="248"/>
      <c r="I95" s="254"/>
      <c r="J95" s="246"/>
      <c r="K95" s="247"/>
      <c r="L95" s="245"/>
      <c r="M95" s="246"/>
      <c r="N95" s="245"/>
      <c r="O95" s="278">
        <f t="shared" si="13"/>
        <v>0</v>
      </c>
      <c r="Q95" s="253"/>
    </row>
    <row r="96" spans="1:20" x14ac:dyDescent="0.25">
      <c r="D96" s="244" t="s">
        <v>423</v>
      </c>
      <c r="E96" s="252"/>
      <c r="F96" s="251"/>
      <c r="G96" s="251"/>
      <c r="H96" s="251"/>
      <c r="I96" s="279"/>
      <c r="J96" s="246"/>
      <c r="K96" s="247"/>
      <c r="L96" s="245"/>
      <c r="M96" s="246"/>
      <c r="N96" s="245"/>
      <c r="O96" s="278">
        <f t="shared" si="13"/>
        <v>0</v>
      </c>
      <c r="Q96" s="253"/>
    </row>
    <row r="97" spans="1:20" x14ac:dyDescent="0.25">
      <c r="D97" s="227" t="s">
        <v>424</v>
      </c>
      <c r="E97" s="249">
        <v>83</v>
      </c>
      <c r="F97" s="248"/>
      <c r="G97" s="248">
        <v>0</v>
      </c>
      <c r="H97" s="248">
        <v>0</v>
      </c>
      <c r="I97" s="254" t="e">
        <f>SUMIF('[3]2012 budget'!$A$9:$A$151,C97,'[3]2012 budget'!$H$9:$H$128)</f>
        <v>#VALUE!</v>
      </c>
      <c r="J97" s="246"/>
      <c r="K97" s="247"/>
      <c r="L97" s="245" t="e">
        <f t="shared" ref="L97:L104" si="15">+K97/J97</f>
        <v>#DIV/0!</v>
      </c>
      <c r="M97" s="246">
        <v>0</v>
      </c>
      <c r="N97" s="245" t="e">
        <f t="shared" ref="N97:N104" si="16">+M97/J97</f>
        <v>#DIV/0!</v>
      </c>
      <c r="O97" s="278">
        <f t="shared" si="13"/>
        <v>0</v>
      </c>
      <c r="Q97" s="253"/>
    </row>
    <row r="98" spans="1:20" x14ac:dyDescent="0.25">
      <c r="C98" s="233">
        <v>4540003</v>
      </c>
      <c r="D98" s="230" t="s">
        <v>425</v>
      </c>
      <c r="E98" s="250">
        <v>2431</v>
      </c>
      <c r="F98" s="248">
        <v>6376</v>
      </c>
      <c r="G98" s="248">
        <v>6822</v>
      </c>
      <c r="H98" s="248">
        <v>9733</v>
      </c>
      <c r="I98" s="304">
        <v>6357</v>
      </c>
      <c r="J98" s="250">
        <v>27975</v>
      </c>
      <c r="K98" s="264">
        <v>15419</v>
      </c>
      <c r="L98" s="303">
        <f t="shared" si="15"/>
        <v>0.55117068811438785</v>
      </c>
      <c r="M98" s="246">
        <v>15419</v>
      </c>
      <c r="N98" s="245">
        <f t="shared" si="16"/>
        <v>0.55117068811438785</v>
      </c>
      <c r="O98" s="278">
        <f t="shared" si="13"/>
        <v>0</v>
      </c>
      <c r="Q98" s="302"/>
    </row>
    <row r="99" spans="1:20" x14ac:dyDescent="0.25">
      <c r="C99" s="305">
        <v>4540004</v>
      </c>
      <c r="D99" s="230" t="s">
        <v>42</v>
      </c>
      <c r="E99" s="250">
        <v>8612</v>
      </c>
      <c r="F99" s="248">
        <v>15289</v>
      </c>
      <c r="G99" s="248">
        <v>12522</v>
      </c>
      <c r="H99" s="248">
        <v>13497</v>
      </c>
      <c r="I99" s="254" t="e">
        <f>SUMIF('[3]2012 budget'!$A$9:$A$151,C99,'[3]2012 budget'!$H$9:$H$128)</f>
        <v>#VALUE!</v>
      </c>
      <c r="J99" s="250">
        <v>25176</v>
      </c>
      <c r="K99" s="126">
        <v>13876</v>
      </c>
      <c r="L99" s="303">
        <f t="shared" si="15"/>
        <v>0.55115983476326658</v>
      </c>
      <c r="M99" s="246">
        <v>13876</v>
      </c>
      <c r="N99" s="245">
        <f t="shared" si="16"/>
        <v>0.55115983476326658</v>
      </c>
      <c r="O99" s="278">
        <f t="shared" si="13"/>
        <v>0</v>
      </c>
      <c r="Q99" s="253"/>
    </row>
    <row r="100" spans="1:20" x14ac:dyDescent="0.25">
      <c r="B100" s="233">
        <v>4540004</v>
      </c>
      <c r="C100" s="305">
        <v>4542000</v>
      </c>
      <c r="D100" s="230" t="s">
        <v>426</v>
      </c>
      <c r="E100" s="250">
        <v>17095</v>
      </c>
      <c r="F100" s="248">
        <v>25108</v>
      </c>
      <c r="G100" s="248">
        <v>25229</v>
      </c>
      <c r="H100" s="248">
        <v>21776</v>
      </c>
      <c r="I100" s="304">
        <v>23786</v>
      </c>
      <c r="J100" s="250">
        <v>45301</v>
      </c>
      <c r="K100" s="264">
        <v>24969</v>
      </c>
      <c r="L100" s="303">
        <f t="shared" si="15"/>
        <v>0.55117988565373832</v>
      </c>
      <c r="M100" s="246">
        <v>24969</v>
      </c>
      <c r="N100" s="245">
        <f t="shared" si="16"/>
        <v>0.55117988565373832</v>
      </c>
      <c r="O100" s="278">
        <f t="shared" si="13"/>
        <v>0</v>
      </c>
      <c r="Q100" s="302"/>
    </row>
    <row r="101" spans="1:20" x14ac:dyDescent="0.25">
      <c r="C101" s="233">
        <v>4510015</v>
      </c>
      <c r="D101" s="227" t="s">
        <v>41</v>
      </c>
      <c r="E101" s="249">
        <v>0</v>
      </c>
      <c r="F101" s="248"/>
      <c r="G101" s="248">
        <v>0</v>
      </c>
      <c r="H101" s="248">
        <v>0</v>
      </c>
      <c r="I101" s="254" t="e">
        <f>SUMIF('[3]2012 budget'!$A$9:$A$151,C101,'[3]2012 budget'!$H$9:$H$128)</f>
        <v>#VALUE!</v>
      </c>
      <c r="J101" s="250"/>
      <c r="K101" s="126"/>
      <c r="L101" s="245" t="e">
        <f t="shared" si="15"/>
        <v>#DIV/0!</v>
      </c>
      <c r="M101" s="246">
        <v>0</v>
      </c>
      <c r="N101" s="245" t="e">
        <f t="shared" si="16"/>
        <v>#DIV/0!</v>
      </c>
      <c r="O101" s="278">
        <f t="shared" si="13"/>
        <v>0</v>
      </c>
      <c r="Q101" s="253"/>
    </row>
    <row r="102" spans="1:20" x14ac:dyDescent="0.25">
      <c r="C102" s="301">
        <v>4540005</v>
      </c>
      <c r="D102" s="227" t="s">
        <v>44</v>
      </c>
      <c r="E102" s="249"/>
      <c r="F102" s="248"/>
      <c r="G102" s="248">
        <v>0</v>
      </c>
      <c r="H102" s="248">
        <v>0</v>
      </c>
      <c r="I102" s="254" t="e">
        <f>SUMIF('[3]2012 budget'!$A$9:$A$151,C102,'[3]2012 budget'!$H$9:$H$128)</f>
        <v>#VALUE!</v>
      </c>
      <c r="J102" s="250"/>
      <c r="K102" s="126"/>
      <c r="L102" s="245" t="e">
        <f t="shared" si="15"/>
        <v>#DIV/0!</v>
      </c>
      <c r="M102" s="246">
        <v>0</v>
      </c>
      <c r="N102" s="245" t="e">
        <f t="shared" si="16"/>
        <v>#DIV/0!</v>
      </c>
      <c r="O102" s="278">
        <f t="shared" si="13"/>
        <v>0</v>
      </c>
      <c r="Q102" s="253"/>
    </row>
    <row r="103" spans="1:20" s="244" customFormat="1" x14ac:dyDescent="0.25">
      <c r="A103" s="233"/>
      <c r="B103" s="233"/>
      <c r="C103" s="301">
        <v>4540101.01</v>
      </c>
      <c r="D103" s="227" t="s">
        <v>427</v>
      </c>
      <c r="E103" s="249">
        <v>2719</v>
      </c>
      <c r="F103" s="248">
        <v>3378</v>
      </c>
      <c r="G103" s="248">
        <v>3346</v>
      </c>
      <c r="H103" s="248">
        <v>4199</v>
      </c>
      <c r="I103" s="254" t="e">
        <f>SUMIF('[3]2012 budget'!$A$9:$A$151,C103,'[3]2012 budget'!$H$9:$H$128)</f>
        <v>#VALUE!</v>
      </c>
      <c r="J103" s="250">
        <v>10315</v>
      </c>
      <c r="K103" s="126">
        <v>5685</v>
      </c>
      <c r="L103" s="245">
        <f t="shared" si="15"/>
        <v>0.55113911778962676</v>
      </c>
      <c r="M103" s="246">
        <v>5685</v>
      </c>
      <c r="N103" s="245">
        <f t="shared" si="16"/>
        <v>0.55113911778962676</v>
      </c>
      <c r="O103" s="278">
        <f t="shared" si="13"/>
        <v>0</v>
      </c>
      <c r="Q103" s="253"/>
      <c r="R103" s="229"/>
      <c r="S103" s="227"/>
      <c r="T103" s="255"/>
    </row>
    <row r="104" spans="1:20" ht="16.5" thickBot="1" x14ac:dyDescent="0.3">
      <c r="C104" s="233">
        <v>4540101.01</v>
      </c>
      <c r="D104" s="263" t="s">
        <v>428</v>
      </c>
      <c r="E104" s="300">
        <f t="shared" ref="E104:K104" si="17">SUM(E97:E103)</f>
        <v>30940</v>
      </c>
      <c r="F104" s="299">
        <f t="shared" si="17"/>
        <v>50151</v>
      </c>
      <c r="G104" s="299">
        <f t="shared" si="17"/>
        <v>47919</v>
      </c>
      <c r="H104" s="299">
        <f t="shared" si="17"/>
        <v>49205</v>
      </c>
      <c r="I104" s="298" t="e">
        <f t="shared" si="17"/>
        <v>#VALUE!</v>
      </c>
      <c r="J104" s="257">
        <f t="shared" si="17"/>
        <v>108767</v>
      </c>
      <c r="K104" s="259">
        <f t="shared" si="17"/>
        <v>59949</v>
      </c>
      <c r="L104" s="258">
        <f t="shared" si="15"/>
        <v>0.55116901266008989</v>
      </c>
      <c r="M104" s="259">
        <f>SUM(M97:M103)</f>
        <v>59949</v>
      </c>
      <c r="N104" s="258">
        <f t="shared" si="16"/>
        <v>0.55116901266008989</v>
      </c>
      <c r="O104" s="278">
        <f t="shared" si="13"/>
        <v>0</v>
      </c>
      <c r="Q104" s="253"/>
    </row>
    <row r="105" spans="1:20" s="230" customFormat="1" ht="16.5" thickTop="1" x14ac:dyDescent="0.25">
      <c r="A105" s="233"/>
      <c r="B105" s="233"/>
      <c r="C105" s="233"/>
      <c r="D105" s="227"/>
      <c r="E105" s="249"/>
      <c r="F105" s="248"/>
      <c r="G105" s="248"/>
      <c r="H105" s="248"/>
      <c r="I105" s="254"/>
      <c r="J105" s="246"/>
      <c r="K105" s="247"/>
      <c r="L105" s="245"/>
      <c r="M105" s="247"/>
      <c r="N105" s="245"/>
      <c r="O105" s="278">
        <f t="shared" si="13"/>
        <v>0</v>
      </c>
      <c r="Q105" s="253"/>
      <c r="R105" s="229"/>
      <c r="S105" s="227"/>
      <c r="T105" s="297"/>
    </row>
    <row r="106" spans="1:20" ht="16.5" thickBot="1" x14ac:dyDescent="0.3">
      <c r="D106" s="296" t="s">
        <v>286</v>
      </c>
      <c r="E106" s="262">
        <f t="shared" ref="E106:M106" si="18">+E55+E87+E94+E104</f>
        <v>260682</v>
      </c>
      <c r="F106" s="261">
        <f t="shared" si="18"/>
        <v>394264.57261599996</v>
      </c>
      <c r="G106" s="261">
        <f t="shared" si="18"/>
        <v>373168</v>
      </c>
      <c r="H106" s="261">
        <f t="shared" si="18"/>
        <v>417548.58240000001</v>
      </c>
      <c r="I106" s="260" t="e">
        <f t="shared" si="18"/>
        <v>#VALUE!</v>
      </c>
      <c r="J106" s="295">
        <f t="shared" si="18"/>
        <v>831621</v>
      </c>
      <c r="K106" s="294">
        <f t="shared" si="18"/>
        <v>457891</v>
      </c>
      <c r="L106" s="258">
        <f t="shared" si="18"/>
        <v>2.2019059010517781</v>
      </c>
      <c r="M106" s="294">
        <f t="shared" si="18"/>
        <v>450490.21499999997</v>
      </c>
      <c r="N106" s="258">
        <f>+M106/J106</f>
        <v>0.54170134592560792</v>
      </c>
      <c r="O106" s="278"/>
      <c r="Q106" s="253"/>
    </row>
    <row r="107" spans="1:20" ht="16.5" thickTop="1" x14ac:dyDescent="0.25">
      <c r="D107" s="293" t="s">
        <v>429</v>
      </c>
      <c r="E107" s="252"/>
      <c r="F107" s="251"/>
      <c r="G107" s="251"/>
      <c r="H107" s="251"/>
      <c r="I107" s="279"/>
      <c r="J107" s="246"/>
      <c r="K107" s="247"/>
      <c r="L107" s="245"/>
      <c r="M107" s="247"/>
      <c r="N107" s="245"/>
      <c r="O107" s="278">
        <f>K107-M107</f>
        <v>0</v>
      </c>
      <c r="Q107" s="253"/>
    </row>
    <row r="108" spans="1:20" ht="16.5" thickBot="1" x14ac:dyDescent="0.3">
      <c r="D108" s="292" t="s">
        <v>430</v>
      </c>
      <c r="E108" s="291">
        <f t="shared" ref="E108:K108" si="19">+E23-E106</f>
        <v>-19737</v>
      </c>
      <c r="F108" s="290">
        <f t="shared" si="19"/>
        <v>-86616.572615999961</v>
      </c>
      <c r="G108" s="290">
        <f t="shared" si="19"/>
        <v>-58701</v>
      </c>
      <c r="H108" s="290">
        <f t="shared" si="19"/>
        <v>-94459.582400000014</v>
      </c>
      <c r="I108" s="289" t="e">
        <f t="shared" si="19"/>
        <v>#VALUE!</v>
      </c>
      <c r="J108" s="282">
        <f t="shared" si="19"/>
        <v>300936</v>
      </c>
      <c r="K108" s="281">
        <f t="shared" si="19"/>
        <v>-128617</v>
      </c>
      <c r="L108" s="280">
        <f>+K108/J108</f>
        <v>-0.4273898769173512</v>
      </c>
      <c r="M108" s="281">
        <f>+M23-M106</f>
        <v>-121216.01499999996</v>
      </c>
      <c r="N108" s="280">
        <f>+M108/J108</f>
        <v>-0.4027966577611185</v>
      </c>
      <c r="O108" s="278"/>
      <c r="Q108" s="253"/>
    </row>
    <row r="109" spans="1:20" ht="16.5" thickTop="1" x14ac:dyDescent="0.25">
      <c r="E109" s="249"/>
      <c r="F109" s="248"/>
      <c r="G109" s="248"/>
      <c r="H109" s="248"/>
      <c r="I109" s="254"/>
      <c r="J109" s="246"/>
      <c r="K109" s="247"/>
      <c r="L109" s="245"/>
      <c r="M109" s="246"/>
      <c r="N109" s="245"/>
      <c r="O109" s="278">
        <f t="shared" ref="O109:O120" si="20">K109-M109</f>
        <v>0</v>
      </c>
      <c r="Q109" s="253"/>
    </row>
    <row r="110" spans="1:20" x14ac:dyDescent="0.25">
      <c r="D110" s="244" t="s">
        <v>431</v>
      </c>
      <c r="E110" s="249"/>
      <c r="F110" s="248"/>
      <c r="G110" s="248"/>
      <c r="H110" s="248"/>
      <c r="I110" s="254"/>
      <c r="J110" s="246"/>
      <c r="K110" s="247"/>
      <c r="L110" s="245"/>
      <c r="M110" s="246"/>
      <c r="N110" s="245"/>
      <c r="O110" s="278">
        <f t="shared" si="20"/>
        <v>0</v>
      </c>
      <c r="Q110" s="253"/>
    </row>
    <row r="111" spans="1:20" x14ac:dyDescent="0.25">
      <c r="D111" s="227" t="s">
        <v>432</v>
      </c>
      <c r="E111" s="249">
        <v>0</v>
      </c>
      <c r="F111" s="248"/>
      <c r="G111" s="248"/>
      <c r="H111" s="248">
        <v>0</v>
      </c>
      <c r="I111" s="254" t="e">
        <f>SUMIF('[3]2012 budget'!$A$9:$A$151,C111,'[3]2012 budget'!$H$9:$H$128)</f>
        <v>#VALUE!</v>
      </c>
      <c r="J111" s="250"/>
      <c r="K111" s="126"/>
      <c r="L111" s="245" t="e">
        <f t="shared" ref="L111:L119" si="21">+K111/J111</f>
        <v>#DIV/0!</v>
      </c>
      <c r="M111" s="246"/>
      <c r="N111" s="245" t="e">
        <f t="shared" ref="N111:N119" si="22">+M111/J111</f>
        <v>#DIV/0!</v>
      </c>
      <c r="O111" s="278">
        <f t="shared" si="20"/>
        <v>0</v>
      </c>
      <c r="Q111" s="253"/>
    </row>
    <row r="112" spans="1:20" x14ac:dyDescent="0.25">
      <c r="C112" s="233">
        <v>4192002</v>
      </c>
      <c r="D112" s="227" t="s">
        <v>433</v>
      </c>
      <c r="E112" s="249">
        <v>0</v>
      </c>
      <c r="F112" s="248"/>
      <c r="G112" s="248"/>
      <c r="H112" s="248">
        <v>0</v>
      </c>
      <c r="I112" s="254" t="e">
        <f>SUMIF('[3]2012 budget'!$A$9:$A$151,C112,'[3]2012 budget'!$H$9:$H$128)</f>
        <v>#VALUE!</v>
      </c>
      <c r="J112" s="250">
        <v>620655</v>
      </c>
      <c r="K112" s="126"/>
      <c r="L112" s="245">
        <f t="shared" si="21"/>
        <v>0</v>
      </c>
      <c r="M112" s="246"/>
      <c r="N112" s="245">
        <f t="shared" si="22"/>
        <v>0</v>
      </c>
      <c r="O112" s="278">
        <f t="shared" si="20"/>
        <v>0</v>
      </c>
      <c r="Q112" s="253"/>
    </row>
    <row r="113" spans="1:20" x14ac:dyDescent="0.25">
      <c r="C113" s="233">
        <v>4580001</v>
      </c>
      <c r="D113" s="227" t="s">
        <v>434</v>
      </c>
      <c r="E113" s="249">
        <v>0</v>
      </c>
      <c r="F113" s="248"/>
      <c r="G113" s="248"/>
      <c r="H113" s="248">
        <v>0</v>
      </c>
      <c r="I113" s="254" t="e">
        <f>SUMIF('[3]2012 budget'!$A$9:$A$151,C113,'[3]2012 budget'!$H$9:$H$128)</f>
        <v>#VALUE!</v>
      </c>
      <c r="J113" s="250"/>
      <c r="K113" s="126"/>
      <c r="L113" s="245" t="e">
        <f t="shared" si="21"/>
        <v>#DIV/0!</v>
      </c>
      <c r="M113" s="246"/>
      <c r="N113" s="245" t="e">
        <f t="shared" si="22"/>
        <v>#DIV/0!</v>
      </c>
      <c r="O113" s="278">
        <f t="shared" si="20"/>
        <v>0</v>
      </c>
      <c r="Q113" s="253"/>
    </row>
    <row r="114" spans="1:20" x14ac:dyDescent="0.25">
      <c r="C114" s="233">
        <v>4580002</v>
      </c>
      <c r="D114" s="227" t="s">
        <v>435</v>
      </c>
      <c r="E114" s="249">
        <v>0</v>
      </c>
      <c r="F114" s="248"/>
      <c r="G114" s="248"/>
      <c r="H114" s="248">
        <v>0</v>
      </c>
      <c r="I114" s="254" t="e">
        <f>SUMIF('[3]2012 budget'!$A$9:$A$151,C114,'[3]2012 budget'!$H$9:$H$128)</f>
        <v>#VALUE!</v>
      </c>
      <c r="J114" s="250"/>
      <c r="K114" s="126"/>
      <c r="L114" s="245" t="e">
        <f t="shared" si="21"/>
        <v>#DIV/0!</v>
      </c>
      <c r="M114" s="246"/>
      <c r="N114" s="245" t="e">
        <f t="shared" si="22"/>
        <v>#DIV/0!</v>
      </c>
      <c r="O114" s="278">
        <f t="shared" si="20"/>
        <v>0</v>
      </c>
      <c r="Q114" s="253"/>
    </row>
    <row r="115" spans="1:20" x14ac:dyDescent="0.25">
      <c r="D115" s="227" t="s">
        <v>436</v>
      </c>
      <c r="E115" s="249">
        <v>0</v>
      </c>
      <c r="F115" s="248"/>
      <c r="G115" s="248"/>
      <c r="H115" s="248">
        <v>0</v>
      </c>
      <c r="I115" s="254" t="e">
        <f>SUMIF('[3]2012 budget'!$A$9:$A$151,C115,'[3]2012 budget'!$H$9:$H$128)</f>
        <v>#VALUE!</v>
      </c>
      <c r="J115" s="250"/>
      <c r="K115" s="126"/>
      <c r="L115" s="245" t="e">
        <f t="shared" si="21"/>
        <v>#DIV/0!</v>
      </c>
      <c r="M115" s="246"/>
      <c r="N115" s="245" t="e">
        <f t="shared" si="22"/>
        <v>#DIV/0!</v>
      </c>
      <c r="O115" s="278">
        <f t="shared" si="20"/>
        <v>0</v>
      </c>
      <c r="Q115" s="253"/>
    </row>
    <row r="116" spans="1:20" x14ac:dyDescent="0.25">
      <c r="D116" s="227" t="s">
        <v>437</v>
      </c>
      <c r="E116" s="249">
        <v>0</v>
      </c>
      <c r="F116" s="248"/>
      <c r="G116" s="248"/>
      <c r="H116" s="248">
        <v>0</v>
      </c>
      <c r="I116" s="254" t="e">
        <f>SUMIF('[3]2012 budget'!$A$9:$A$151,C116,'[3]2012 budget'!$H$9:$H$128)</f>
        <v>#VALUE!</v>
      </c>
      <c r="J116" s="250"/>
      <c r="K116" s="126"/>
      <c r="L116" s="245" t="e">
        <f t="shared" si="21"/>
        <v>#DIV/0!</v>
      </c>
      <c r="M116" s="246"/>
      <c r="N116" s="245" t="e">
        <f t="shared" si="22"/>
        <v>#DIV/0!</v>
      </c>
      <c r="O116" s="278">
        <f t="shared" si="20"/>
        <v>0</v>
      </c>
      <c r="Q116" s="253"/>
    </row>
    <row r="117" spans="1:20" x14ac:dyDescent="0.25">
      <c r="D117" s="288" t="s">
        <v>438</v>
      </c>
      <c r="E117" s="249">
        <v>3500</v>
      </c>
      <c r="F117" s="248">
        <v>21000</v>
      </c>
      <c r="G117" s="248">
        <v>21000</v>
      </c>
      <c r="H117" s="248">
        <v>21000</v>
      </c>
      <c r="I117" s="254" t="e">
        <f>SUMIF('[3]2012 budget'!$A$9:$A$151,C117,'[3]2012 budget'!$H$9:$H$128)</f>
        <v>#VALUE!</v>
      </c>
      <c r="J117" s="250">
        <v>38099</v>
      </c>
      <c r="K117" s="264">
        <v>21000</v>
      </c>
      <c r="L117" s="245">
        <f t="shared" si="21"/>
        <v>0.55119556943751802</v>
      </c>
      <c r="M117" s="246">
        <v>21000</v>
      </c>
      <c r="N117" s="245">
        <f t="shared" si="22"/>
        <v>0.55119556943751802</v>
      </c>
      <c r="O117" s="278">
        <f t="shared" si="20"/>
        <v>0</v>
      </c>
      <c r="Q117" s="253"/>
    </row>
    <row r="118" spans="1:20" x14ac:dyDescent="0.25">
      <c r="D118" s="227" t="s">
        <v>439</v>
      </c>
      <c r="E118" s="249">
        <v>0</v>
      </c>
      <c r="F118" s="248"/>
      <c r="G118" s="248"/>
      <c r="H118" s="248">
        <v>0</v>
      </c>
      <c r="I118" s="254" t="e">
        <f>SUMIF('[3]2012 budget'!$A$9:$A$151,C118,'[3]2012 budget'!$H$9:$H$128)</f>
        <v>#VALUE!</v>
      </c>
      <c r="J118" s="250"/>
      <c r="K118" s="126"/>
      <c r="L118" s="245" t="e">
        <f t="shared" si="21"/>
        <v>#DIV/0!</v>
      </c>
      <c r="M118" s="246"/>
      <c r="N118" s="245" t="e">
        <f t="shared" si="22"/>
        <v>#DIV/0!</v>
      </c>
      <c r="O118" s="278">
        <f t="shared" si="20"/>
        <v>0</v>
      </c>
      <c r="Q118" s="253"/>
    </row>
    <row r="119" spans="1:20" ht="16.5" thickBot="1" x14ac:dyDescent="0.3">
      <c r="D119" s="263" t="s">
        <v>440</v>
      </c>
      <c r="E119" s="287">
        <f t="shared" ref="E119:K119" si="23">SUM(E111:E118)</f>
        <v>3500</v>
      </c>
      <c r="F119" s="286">
        <f t="shared" si="23"/>
        <v>21000</v>
      </c>
      <c r="G119" s="286">
        <f t="shared" si="23"/>
        <v>21000</v>
      </c>
      <c r="H119" s="286">
        <f t="shared" si="23"/>
        <v>21000</v>
      </c>
      <c r="I119" s="285" t="e">
        <f t="shared" si="23"/>
        <v>#VALUE!</v>
      </c>
      <c r="J119" s="284">
        <f t="shared" si="23"/>
        <v>658754</v>
      </c>
      <c r="K119" s="283">
        <f t="shared" si="23"/>
        <v>21000</v>
      </c>
      <c r="L119" s="270">
        <f t="shared" si="21"/>
        <v>3.1878364305947288E-2</v>
      </c>
      <c r="M119" s="283">
        <f>SUM(M111:M118)</f>
        <v>21000</v>
      </c>
      <c r="N119" s="270">
        <f t="shared" si="22"/>
        <v>3.1878364305947288E-2</v>
      </c>
      <c r="O119" s="278">
        <f t="shared" si="20"/>
        <v>0</v>
      </c>
      <c r="Q119" s="253"/>
    </row>
    <row r="120" spans="1:20" ht="16.5" thickTop="1" x14ac:dyDescent="0.25">
      <c r="E120" s="249"/>
      <c r="F120" s="248"/>
      <c r="G120" s="248"/>
      <c r="H120" s="248"/>
      <c r="I120" s="254"/>
      <c r="J120" s="246"/>
      <c r="K120" s="247"/>
      <c r="L120" s="245"/>
      <c r="M120" s="247"/>
      <c r="N120" s="245"/>
      <c r="O120" s="278">
        <f t="shared" si="20"/>
        <v>0</v>
      </c>
      <c r="Q120" s="253"/>
    </row>
    <row r="121" spans="1:20" s="244" customFormat="1" ht="16.5" thickBot="1" x14ac:dyDescent="0.3">
      <c r="A121" s="233"/>
      <c r="B121" s="233"/>
      <c r="C121" s="233"/>
      <c r="D121" s="269" t="s">
        <v>441</v>
      </c>
      <c r="E121" s="262">
        <f t="shared" ref="E121:K121" si="24">+E108-E119</f>
        <v>-23237</v>
      </c>
      <c r="F121" s="261">
        <f t="shared" si="24"/>
        <v>-107616.57261599996</v>
      </c>
      <c r="G121" s="261">
        <f t="shared" si="24"/>
        <v>-79701</v>
      </c>
      <c r="H121" s="261">
        <f t="shared" si="24"/>
        <v>-115459.58240000001</v>
      </c>
      <c r="I121" s="260" t="e">
        <f t="shared" si="24"/>
        <v>#VALUE!</v>
      </c>
      <c r="J121" s="282">
        <f t="shared" si="24"/>
        <v>-357818</v>
      </c>
      <c r="K121" s="281">
        <f t="shared" si="24"/>
        <v>-149617</v>
      </c>
      <c r="L121" s="280">
        <f>+K121/J121</f>
        <v>0.41813715352497638</v>
      </c>
      <c r="M121" s="281">
        <f>+M108-M119</f>
        <v>-142216.01499999996</v>
      </c>
      <c r="N121" s="280">
        <f>+M121/J121</f>
        <v>0.39745349591132911</v>
      </c>
      <c r="O121" s="278"/>
      <c r="Q121" s="253"/>
      <c r="R121" s="229"/>
      <c r="S121" s="227"/>
      <c r="T121" s="255"/>
    </row>
    <row r="122" spans="1:20" ht="16.5" thickTop="1" x14ac:dyDescent="0.25">
      <c r="A122" s="227"/>
      <c r="B122" s="227"/>
      <c r="C122" s="227"/>
      <c r="E122" s="249"/>
      <c r="F122" s="248"/>
      <c r="G122" s="248"/>
      <c r="H122" s="248"/>
      <c r="I122" s="254"/>
      <c r="J122" s="246"/>
      <c r="K122" s="247"/>
      <c r="L122" s="245"/>
      <c r="M122" s="246"/>
      <c r="N122" s="245"/>
      <c r="O122" s="278">
        <f t="shared" ref="O122:O127" si="25">K122-M122</f>
        <v>0</v>
      </c>
      <c r="Q122" s="253"/>
    </row>
    <row r="123" spans="1:20" x14ac:dyDescent="0.25">
      <c r="D123" s="244" t="s">
        <v>442</v>
      </c>
      <c r="E123" s="252"/>
      <c r="F123" s="251"/>
      <c r="G123" s="251"/>
      <c r="H123" s="251"/>
      <c r="I123" s="279"/>
      <c r="J123" s="246"/>
      <c r="K123" s="247"/>
      <c r="L123" s="245"/>
      <c r="M123" s="246"/>
      <c r="N123" s="245"/>
      <c r="O123" s="278">
        <f t="shared" si="25"/>
        <v>0</v>
      </c>
      <c r="Q123" s="253"/>
    </row>
    <row r="124" spans="1:20" x14ac:dyDescent="0.25">
      <c r="D124" s="227" t="s">
        <v>443</v>
      </c>
      <c r="E124" s="249">
        <v>0</v>
      </c>
      <c r="F124" s="248"/>
      <c r="G124" s="248"/>
      <c r="H124" s="248">
        <v>0</v>
      </c>
      <c r="I124" s="254" t="e">
        <f>SUMIF('[3]2012 budget'!$A$9:$A$151,C124,'[3]2012 budget'!$H$9:$H$128)</f>
        <v>#VALUE!</v>
      </c>
      <c r="J124" s="246">
        <v>953180</v>
      </c>
      <c r="K124" s="247"/>
      <c r="L124" s="245">
        <f>+K124/J124</f>
        <v>0</v>
      </c>
      <c r="M124" s="246">
        <f>K124</f>
        <v>0</v>
      </c>
      <c r="N124" s="245">
        <f>+M124/J124</f>
        <v>0</v>
      </c>
      <c r="O124" s="278">
        <f t="shared" si="25"/>
        <v>0</v>
      </c>
      <c r="Q124" s="253"/>
    </row>
    <row r="125" spans="1:20" x14ac:dyDescent="0.25">
      <c r="D125" s="227" t="s">
        <v>66</v>
      </c>
      <c r="E125" s="249">
        <v>0</v>
      </c>
      <c r="F125" s="248"/>
      <c r="G125" s="248"/>
      <c r="H125" s="248">
        <v>0</v>
      </c>
      <c r="I125" s="254" t="e">
        <f>SUMIF('[3]2012 budget'!$A$9:$A$151,C125,'[3]2012 budget'!$H$9:$H$128)</f>
        <v>#VALUE!</v>
      </c>
      <c r="J125" s="246">
        <v>-1063</v>
      </c>
      <c r="K125" s="247"/>
      <c r="L125" s="245">
        <f>+K125/J125</f>
        <v>0</v>
      </c>
      <c r="M125" s="246">
        <f>K125</f>
        <v>0</v>
      </c>
      <c r="N125" s="245">
        <f>+M125/J125</f>
        <v>0</v>
      </c>
      <c r="O125" s="278">
        <f t="shared" si="25"/>
        <v>0</v>
      </c>
      <c r="Q125" s="253"/>
    </row>
    <row r="126" spans="1:20" x14ac:dyDescent="0.25">
      <c r="D126" s="227" t="s">
        <v>444</v>
      </c>
      <c r="E126" s="249"/>
      <c r="F126" s="248"/>
      <c r="G126" s="248"/>
      <c r="H126" s="248">
        <v>0</v>
      </c>
      <c r="I126" s="254" t="e">
        <f>SUMIF('[3]2012 budget'!$A$9:$A$151,C126,'[3]2012 budget'!$H$9:$H$128)</f>
        <v>#VALUE!</v>
      </c>
      <c r="J126" s="246"/>
      <c r="K126" s="247"/>
      <c r="L126" s="245"/>
      <c r="M126" s="246">
        <f>K126</f>
        <v>0</v>
      </c>
      <c r="N126" s="245"/>
      <c r="O126" s="278">
        <f t="shared" si="25"/>
        <v>0</v>
      </c>
      <c r="Q126" s="253"/>
    </row>
    <row r="127" spans="1:20" x14ac:dyDescent="0.25">
      <c r="D127" s="227" t="s">
        <v>445</v>
      </c>
      <c r="E127" s="249">
        <v>0</v>
      </c>
      <c r="F127" s="248"/>
      <c r="G127" s="248"/>
      <c r="H127" s="248">
        <v>0</v>
      </c>
      <c r="I127" s="254" t="e">
        <f>SUMIF('[3]2012 budget'!$A$9:$A$151,C127,'[3]2012 budget'!$H$9:$H$128)</f>
        <v>#VALUE!</v>
      </c>
      <c r="J127" s="246">
        <v>50000</v>
      </c>
      <c r="K127" s="247"/>
      <c r="L127" s="245">
        <f>+K127/J127</f>
        <v>0</v>
      </c>
      <c r="M127" s="246">
        <f>K127</f>
        <v>0</v>
      </c>
      <c r="N127" s="245">
        <f>+M127/J127</f>
        <v>0</v>
      </c>
      <c r="O127" s="278">
        <f t="shared" si="25"/>
        <v>0</v>
      </c>
      <c r="Q127" s="253"/>
    </row>
    <row r="128" spans="1:20" ht="16.5" thickBot="1" x14ac:dyDescent="0.3">
      <c r="D128" s="277" t="s">
        <v>446</v>
      </c>
      <c r="E128" s="276">
        <f>SUM(E124:E127)</f>
        <v>0</v>
      </c>
      <c r="F128" s="275">
        <f>SUM(F124:F127)</f>
        <v>0</v>
      </c>
      <c r="G128" s="275">
        <f>SUM(G124:G127)</f>
        <v>0</v>
      </c>
      <c r="H128" s="275"/>
      <c r="I128" s="274" t="e">
        <f>SUM(I124:I127)</f>
        <v>#VALUE!</v>
      </c>
      <c r="J128" s="273">
        <f>SUM(J124:J127)</f>
        <v>1002117</v>
      </c>
      <c r="K128" s="271">
        <f>SUM(K124:K127)</f>
        <v>0</v>
      </c>
      <c r="L128" s="272">
        <f>+K128/J128</f>
        <v>0</v>
      </c>
      <c r="M128" s="271">
        <f>SUM(M124:M127)</f>
        <v>0</v>
      </c>
      <c r="N128" s="270">
        <f>+M128/J128</f>
        <v>0</v>
      </c>
      <c r="Q128" s="253"/>
    </row>
    <row r="129" spans="1:20" ht="16.5" thickTop="1" x14ac:dyDescent="0.25">
      <c r="E129" s="249"/>
      <c r="F129" s="248"/>
      <c r="G129" s="248"/>
      <c r="H129" s="248"/>
      <c r="I129" s="254"/>
      <c r="J129" s="246"/>
      <c r="K129" s="247"/>
      <c r="L129" s="245"/>
      <c r="M129" s="247"/>
      <c r="N129" s="245"/>
      <c r="Q129" s="253"/>
    </row>
    <row r="130" spans="1:20" x14ac:dyDescent="0.25">
      <c r="D130" s="227" t="s">
        <v>447</v>
      </c>
      <c r="E130" s="249">
        <v>0</v>
      </c>
      <c r="F130" s="248">
        <v>0</v>
      </c>
      <c r="G130" s="248">
        <v>0</v>
      </c>
      <c r="H130" s="248">
        <v>0</v>
      </c>
      <c r="I130" s="254" t="e">
        <f>SUMIF('[3]2012 budget'!$A$9:$A$151,C130,'[3]2012 budget'!$H$9:$H$128)</f>
        <v>#VALUE!</v>
      </c>
      <c r="J130" s="246">
        <v>0</v>
      </c>
      <c r="K130" s="247">
        <v>0</v>
      </c>
      <c r="L130" s="245" t="e">
        <f>+K130/J130</f>
        <v>#DIV/0!</v>
      </c>
      <c r="M130" s="246">
        <f>K130</f>
        <v>0</v>
      </c>
      <c r="N130" s="245" t="e">
        <f>+M130/J130</f>
        <v>#DIV/0!</v>
      </c>
      <c r="Q130" s="253"/>
    </row>
    <row r="131" spans="1:20" x14ac:dyDescent="0.25">
      <c r="E131" s="249"/>
      <c r="F131" s="248"/>
      <c r="G131" s="248"/>
      <c r="H131" s="248"/>
      <c r="I131" s="254"/>
      <c r="J131" s="246"/>
      <c r="K131" s="247"/>
      <c r="L131" s="245"/>
      <c r="M131" s="247"/>
      <c r="N131" s="245"/>
      <c r="Q131" s="253"/>
    </row>
    <row r="132" spans="1:20" ht="16.5" thickBot="1" x14ac:dyDescent="0.3">
      <c r="D132" s="269" t="s">
        <v>448</v>
      </c>
      <c r="E132" s="262">
        <f t="shared" ref="E132:K132" si="26">+E121-E128-E130</f>
        <v>-23237</v>
      </c>
      <c r="F132" s="261">
        <f t="shared" si="26"/>
        <v>-107616.57261599996</v>
      </c>
      <c r="G132" s="261">
        <f t="shared" si="26"/>
        <v>-79701</v>
      </c>
      <c r="H132" s="261">
        <f t="shared" si="26"/>
        <v>-115459.58240000001</v>
      </c>
      <c r="I132" s="260" t="e">
        <f t="shared" si="26"/>
        <v>#VALUE!</v>
      </c>
      <c r="J132" s="268">
        <f t="shared" si="26"/>
        <v>-1359935</v>
      </c>
      <c r="K132" s="267">
        <f t="shared" si="26"/>
        <v>-149617</v>
      </c>
      <c r="L132" s="266">
        <f>+K132/J132</f>
        <v>0.11001775820167875</v>
      </c>
      <c r="M132" s="267">
        <f>+M121-M128-M130</f>
        <v>-142216.01499999996</v>
      </c>
      <c r="N132" s="266">
        <f>+M132/J132</f>
        <v>0.10457559736310923</v>
      </c>
      <c r="Q132" s="253"/>
    </row>
    <row r="133" spans="1:20" ht="16.5" thickTop="1" x14ac:dyDescent="0.25">
      <c r="E133" s="249"/>
      <c r="F133" s="248"/>
      <c r="G133" s="248"/>
      <c r="H133" s="248"/>
      <c r="I133" s="254"/>
      <c r="J133" s="246"/>
      <c r="K133" s="247"/>
      <c r="L133" s="245"/>
      <c r="M133" s="246"/>
      <c r="N133" s="245"/>
      <c r="Q133" s="253"/>
    </row>
    <row r="134" spans="1:20" x14ac:dyDescent="0.25">
      <c r="D134" s="244" t="s">
        <v>449</v>
      </c>
      <c r="E134" s="249"/>
      <c r="F134" s="248"/>
      <c r="G134" s="248"/>
      <c r="H134" s="248"/>
      <c r="I134" s="254"/>
      <c r="J134" s="246"/>
      <c r="K134" s="247"/>
      <c r="L134" s="245"/>
      <c r="M134" s="246"/>
      <c r="N134" s="245"/>
      <c r="Q134" s="253"/>
    </row>
    <row r="135" spans="1:20" x14ac:dyDescent="0.25">
      <c r="D135" s="227" t="s">
        <v>450</v>
      </c>
      <c r="E135" s="249">
        <v>0</v>
      </c>
      <c r="F135" s="248">
        <v>1472</v>
      </c>
      <c r="G135" s="248">
        <v>0</v>
      </c>
      <c r="H135" s="248">
        <v>0</v>
      </c>
      <c r="I135" s="254" t="e">
        <f>SUMIF('[3]2012 budget'!$A$9:$A$151,C135,'[3]2012 budget'!$H$9:$H$128)</f>
        <v>#VALUE!</v>
      </c>
      <c r="J135" s="250"/>
      <c r="K135" s="126"/>
      <c r="L135" s="245" t="e">
        <f t="shared" ref="L135:L140" si="27">+K135/J135</f>
        <v>#DIV/0!</v>
      </c>
      <c r="M135" s="246"/>
      <c r="N135" s="245" t="e">
        <f t="shared" ref="N135:N140" si="28">+M135/J135</f>
        <v>#DIV/0!</v>
      </c>
      <c r="Q135" s="253"/>
    </row>
    <row r="136" spans="1:20" x14ac:dyDescent="0.25">
      <c r="D136" s="227" t="s">
        <v>451</v>
      </c>
      <c r="E136" s="249">
        <v>0</v>
      </c>
      <c r="F136" s="248">
        <v>0</v>
      </c>
      <c r="G136" s="248">
        <v>0</v>
      </c>
      <c r="H136" s="248">
        <v>0</v>
      </c>
      <c r="I136" s="254" t="e">
        <f>SUMIF('[3]2012 budget'!$A$9:$A$151,C136,'[3]2012 budget'!$H$9:$H$128)</f>
        <v>#VALUE!</v>
      </c>
      <c r="J136" s="250"/>
      <c r="K136" s="126"/>
      <c r="L136" s="245" t="e">
        <f t="shared" si="27"/>
        <v>#DIV/0!</v>
      </c>
      <c r="M136" s="246"/>
      <c r="N136" s="245" t="e">
        <f t="shared" si="28"/>
        <v>#DIV/0!</v>
      </c>
      <c r="Q136" s="253"/>
    </row>
    <row r="137" spans="1:20" x14ac:dyDescent="0.25">
      <c r="D137" s="230" t="s">
        <v>452</v>
      </c>
      <c r="E137" s="265">
        <v>0</v>
      </c>
      <c r="F137" s="248">
        <v>0</v>
      </c>
      <c r="G137" s="248">
        <v>24696</v>
      </c>
      <c r="H137" s="248">
        <v>47831</v>
      </c>
      <c r="I137" s="254" t="e">
        <f>SUMIF('[3]2012 budget'!$A$9:$A$151,C137,'[3]2012 budget'!$H$9:$H$128)</f>
        <v>#VALUE!</v>
      </c>
      <c r="J137" s="250"/>
      <c r="K137" s="264">
        <v>122936</v>
      </c>
      <c r="L137" s="245" t="e">
        <f t="shared" si="27"/>
        <v>#DIV/0!</v>
      </c>
      <c r="M137" s="246">
        <v>122936</v>
      </c>
      <c r="N137" s="245" t="e">
        <f t="shared" si="28"/>
        <v>#DIV/0!</v>
      </c>
      <c r="Q137" s="253"/>
    </row>
    <row r="138" spans="1:20" x14ac:dyDescent="0.25">
      <c r="D138" s="227" t="s">
        <v>453</v>
      </c>
      <c r="E138" s="249">
        <v>1885</v>
      </c>
      <c r="F138" s="248">
        <v>43558</v>
      </c>
      <c r="G138" s="248">
        <v>5713</v>
      </c>
      <c r="H138" s="248">
        <v>16479</v>
      </c>
      <c r="I138" s="254">
        <v>21000</v>
      </c>
      <c r="J138" s="250"/>
      <c r="K138" s="126">
        <v>6123</v>
      </c>
      <c r="L138" s="245" t="e">
        <f t="shared" si="27"/>
        <v>#DIV/0!</v>
      </c>
      <c r="M138" s="246">
        <v>6123</v>
      </c>
      <c r="N138" s="245" t="e">
        <f t="shared" si="28"/>
        <v>#DIV/0!</v>
      </c>
      <c r="Q138" s="253"/>
    </row>
    <row r="139" spans="1:20" x14ac:dyDescent="0.25">
      <c r="D139" s="227" t="s">
        <v>454</v>
      </c>
      <c r="E139" s="249">
        <v>6298</v>
      </c>
      <c r="F139" s="248">
        <v>5324</v>
      </c>
      <c r="G139" s="248">
        <v>0</v>
      </c>
      <c r="H139" s="248">
        <v>0</v>
      </c>
      <c r="I139" s="254" t="e">
        <f>SUMIF('[3]2012 budget'!$A$9:$A$151,C139,'[3]2012 budget'!$H$9:$H$128)</f>
        <v>#VALUE!</v>
      </c>
      <c r="J139" s="250"/>
      <c r="K139" s="264">
        <v>6571</v>
      </c>
      <c r="L139" s="245" t="e">
        <f t="shared" si="27"/>
        <v>#DIV/0!</v>
      </c>
      <c r="M139" s="246">
        <v>6571</v>
      </c>
      <c r="N139" s="245" t="e">
        <f t="shared" si="28"/>
        <v>#DIV/0!</v>
      </c>
      <c r="Q139" s="253"/>
    </row>
    <row r="140" spans="1:20" s="244" customFormat="1" ht="16.5" thickBot="1" x14ac:dyDescent="0.3">
      <c r="A140" s="233"/>
      <c r="B140" s="233"/>
      <c r="C140" s="233"/>
      <c r="D140" s="263" t="s">
        <v>455</v>
      </c>
      <c r="E140" s="262">
        <f>SUM(E135:E139)</f>
        <v>8183</v>
      </c>
      <c r="F140" s="261">
        <f>SUM(F135:F139)</f>
        <v>50354</v>
      </c>
      <c r="G140" s="261">
        <f>SUM(G135:G139)</f>
        <v>30409</v>
      </c>
      <c r="H140" s="261">
        <f>SUM(H135:H139)</f>
        <v>64310</v>
      </c>
      <c r="I140" s="260" t="e">
        <f>SUM(I135:I138)</f>
        <v>#VALUE!</v>
      </c>
      <c r="J140" s="257">
        <f>SUM(J135:J138)</f>
        <v>0</v>
      </c>
      <c r="K140" s="259">
        <f>SUM(K135:K139)</f>
        <v>135630</v>
      </c>
      <c r="L140" s="258" t="e">
        <f t="shared" si="27"/>
        <v>#DIV/0!</v>
      </c>
      <c r="M140" s="257">
        <f>SUM(M135:M139)</f>
        <v>135630</v>
      </c>
      <c r="N140" s="256" t="e">
        <f t="shared" si="28"/>
        <v>#DIV/0!</v>
      </c>
      <c r="Q140" s="253"/>
      <c r="R140" s="229"/>
      <c r="S140" s="227"/>
      <c r="T140" s="255"/>
    </row>
    <row r="141" spans="1:20" ht="16.5" thickTop="1" x14ac:dyDescent="0.25">
      <c r="E141" s="249"/>
      <c r="F141" s="248"/>
      <c r="G141" s="248"/>
      <c r="H141" s="248"/>
      <c r="I141" s="254"/>
      <c r="J141" s="246"/>
      <c r="K141" s="247"/>
      <c r="L141" s="245"/>
      <c r="M141" s="246"/>
      <c r="N141" s="245"/>
      <c r="Q141" s="253"/>
    </row>
    <row r="142" spans="1:20" x14ac:dyDescent="0.25">
      <c r="D142" s="244" t="s">
        <v>456</v>
      </c>
      <c r="E142" s="252">
        <f>+E132+E140</f>
        <v>-15054</v>
      </c>
      <c r="F142" s="251">
        <f>++F132+F140</f>
        <v>-57262.572615999961</v>
      </c>
      <c r="G142" s="251">
        <f>++G132+G140</f>
        <v>-49292</v>
      </c>
      <c r="H142" s="251">
        <f>++H132+H140</f>
        <v>-51149.582400000014</v>
      </c>
      <c r="I142" s="251" t="e">
        <f>++I132+I140</f>
        <v>#VALUE!</v>
      </c>
      <c r="J142" s="246"/>
      <c r="K142" s="247">
        <f>++K132+K140</f>
        <v>-13987</v>
      </c>
      <c r="L142" s="245"/>
      <c r="M142" s="246">
        <f>++M132+M140</f>
        <v>-6586.0149999999558</v>
      </c>
      <c r="N142" s="245" t="e">
        <f>+M142/J142</f>
        <v>#DIV/0!</v>
      </c>
      <c r="Q142" s="253"/>
    </row>
    <row r="143" spans="1:20" x14ac:dyDescent="0.25">
      <c r="E143" s="249"/>
      <c r="F143" s="248"/>
      <c r="G143" s="248"/>
      <c r="H143" s="248"/>
      <c r="I143" s="248"/>
      <c r="J143" s="246"/>
      <c r="K143" s="247"/>
      <c r="L143" s="245"/>
      <c r="M143" s="246"/>
      <c r="N143" s="245"/>
    </row>
    <row r="144" spans="1:20" x14ac:dyDescent="0.25">
      <c r="D144" s="244" t="s">
        <v>457</v>
      </c>
      <c r="E144" s="252">
        <f>+E142</f>
        <v>-15054</v>
      </c>
      <c r="F144" s="251">
        <f>+F142</f>
        <v>-57262.572615999961</v>
      </c>
      <c r="G144" s="251">
        <f>+G142</f>
        <v>-49292</v>
      </c>
      <c r="H144" s="251">
        <f>+H142</f>
        <v>-51149.582400000014</v>
      </c>
      <c r="I144" s="251" t="e">
        <f>+I142</f>
        <v>#VALUE!</v>
      </c>
      <c r="J144" s="246"/>
      <c r="K144" s="126">
        <f>+K142</f>
        <v>-13987</v>
      </c>
      <c r="L144" s="245"/>
      <c r="M144" s="250">
        <f>+M142</f>
        <v>-6586.0149999999558</v>
      </c>
      <c r="N144" s="245" t="e">
        <f>+M144/J144</f>
        <v>#DIV/0!</v>
      </c>
    </row>
    <row r="145" spans="4:14" ht="16.5" thickBot="1" x14ac:dyDescent="0.3">
      <c r="E145" s="249"/>
      <c r="F145" s="248"/>
      <c r="G145" s="248"/>
      <c r="H145" s="248"/>
      <c r="I145" s="248"/>
      <c r="J145" s="246"/>
      <c r="K145" s="247"/>
      <c r="L145" s="245"/>
      <c r="M145" s="246"/>
      <c r="N145" s="245"/>
    </row>
    <row r="146" spans="4:14" ht="16.5" thickBot="1" x14ac:dyDescent="0.3">
      <c r="D146" s="244" t="s">
        <v>458</v>
      </c>
      <c r="E146" s="243">
        <f>+E144</f>
        <v>-15054</v>
      </c>
      <c r="F146" s="242">
        <f>+F144</f>
        <v>-57262.572615999961</v>
      </c>
      <c r="G146" s="242">
        <f>+G144</f>
        <v>-49292</v>
      </c>
      <c r="H146" s="242">
        <f>+H144</f>
        <v>-51149.582400000014</v>
      </c>
      <c r="I146" s="242" t="e">
        <f>+I144</f>
        <v>#VALUE!</v>
      </c>
      <c r="J146" s="241"/>
      <c r="K146" s="240">
        <f>+K144</f>
        <v>-13987</v>
      </c>
      <c r="L146" s="239"/>
      <c r="M146" s="238">
        <f>+M144</f>
        <v>-6586.0149999999558</v>
      </c>
      <c r="N146" s="237"/>
    </row>
    <row r="148" spans="4:14" hidden="1" x14ac:dyDescent="0.25"/>
    <row r="149" spans="4:14" hidden="1" x14ac:dyDescent="0.25">
      <c r="D149" s="227" t="s">
        <v>467</v>
      </c>
      <c r="K149" s="232">
        <v>162864.19</v>
      </c>
      <c r="M149" s="236">
        <f>K146-M146</f>
        <v>-7400.9850000000442</v>
      </c>
    </row>
    <row r="150" spans="4:14" ht="16.5" thickBot="1" x14ac:dyDescent="0.3"/>
    <row r="151" spans="4:14" ht="16.5" thickBot="1" x14ac:dyDescent="0.3">
      <c r="D151" s="227" t="s">
        <v>466</v>
      </c>
      <c r="K151" s="235">
        <v>57085.78</v>
      </c>
      <c r="M151" s="234">
        <f>K146-M146</f>
        <v>-7400.9850000000442</v>
      </c>
    </row>
  </sheetData>
  <mergeCells count="2">
    <mergeCell ref="J1:L1"/>
    <mergeCell ref="M1:N1"/>
  </mergeCells>
  <printOptions gridLines="1"/>
  <pageMargins left="0.7" right="0.7" top="0.33" bottom="0.62" header="0.3" footer="0.45"/>
  <pageSetup orientation="portrait" verticalDpi="0" r:id="rId1"/>
  <rowBreaks count="3" manualBreakCount="3">
    <brk id="47" min="3" max="16" man="1"/>
    <brk id="78" min="3" max="16" man="1"/>
    <brk id="133" min="3" max="16"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2021 Budget</vt:lpstr>
      <vt:lpstr>Upload File</vt:lpstr>
      <vt:lpstr>Annual Budget Print Format</vt:lpstr>
      <vt:lpstr>Line Items explanations</vt:lpstr>
      <vt:lpstr>Compensation Details</vt:lpstr>
      <vt:lpstr>actual 2014</vt:lpstr>
      <vt:lpstr>Capital Cost</vt:lpstr>
      <vt:lpstr>CHA-PPM Review-Response</vt:lpstr>
      <vt:lpstr>FY2012AuditReconciliation</vt:lpstr>
      <vt:lpstr>na data</vt:lpstr>
      <vt:lpstr>ReplacementReserve Balance </vt:lpstr>
      <vt:lpstr>detail</vt:lpstr>
      <vt:lpstr>'2021 Budget'!Print_Area</vt:lpstr>
      <vt:lpstr>'Annual Budget Print Format'!Print_Area</vt:lpstr>
      <vt:lpstr>'CHA-PPM Review-Response'!Print_Area</vt:lpstr>
      <vt:lpstr>FY2012AuditReconciliation!Print_Area</vt:lpstr>
      <vt:lpstr>'2021 Budget'!Print_Titles</vt:lpstr>
      <vt:lpstr>'Annual Budget Print Format'!Print_Titles</vt:lpstr>
      <vt:lpstr>FY2012AuditReconciliation!Print_Titles</vt:lpstr>
      <vt:lpstr>'Line Items explanations'!Print_Titles</vt:lpstr>
      <vt:lpstr>test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LTorres</cp:lastModifiedBy>
  <cp:lastPrinted>2019-09-30T18:59:34Z</cp:lastPrinted>
  <dcterms:created xsi:type="dcterms:W3CDTF">2005-10-03T18:23:12Z</dcterms:created>
  <dcterms:modified xsi:type="dcterms:W3CDTF">2020-09-09T18:36:27Z</dcterms:modified>
</cp:coreProperties>
</file>